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charts/chart7.xml" ContentType="application/vnd.openxmlformats-officedocument.drawingml.chart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25\d\Municipalidad de Nogoya\05 Documentos Finales A\Editables\8_Estudios Hidrologicos e Hidraulicos\"/>
    </mc:Choice>
  </mc:AlternateContent>
  <xr:revisionPtr revIDLastSave="0" documentId="13_ncr:1_{BD0F9C72-2E64-46FC-A883-729539A11879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Datos cuencas" sheetId="1" r:id="rId1"/>
    <sheet name="CN" sheetId="3" r:id="rId2"/>
    <sheet name="TD 25años" sheetId="6" r:id="rId3"/>
    <sheet name="TD 50años" sheetId="9" r:id="rId4"/>
    <sheet name="Resultados" sheetId="8" r:id="rId5"/>
  </sheets>
  <definedNames>
    <definedName name="_xlnm._FilterDatabase" localSheetId="1" hidden="1">CN!$B$34:$O$36</definedName>
    <definedName name="_xlnm._FilterDatabase" localSheetId="0" hidden="1">'Datos cuencas'!$B$3:$Q$7</definedName>
  </definedNames>
  <calcPr calcId="181029"/>
</workbook>
</file>

<file path=xl/calcChain.xml><?xml version="1.0" encoding="utf-8"?>
<calcChain xmlns="http://schemas.openxmlformats.org/spreadsheetml/2006/main">
  <c r="F43" i="3" l="1"/>
  <c r="F42" i="3"/>
  <c r="F41" i="3"/>
  <c r="F40" i="3"/>
  <c r="O40" i="3" s="1"/>
  <c r="F39" i="3"/>
  <c r="O39" i="3" s="1"/>
  <c r="F38" i="3"/>
  <c r="O38" i="3" s="1"/>
  <c r="F26" i="3"/>
  <c r="O26" i="3" s="1"/>
  <c r="F27" i="3"/>
  <c r="F28" i="3"/>
  <c r="O28" i="3" s="1"/>
  <c r="F29" i="3"/>
  <c r="F30" i="3"/>
  <c r="O30" i="3" s="1"/>
  <c r="F31" i="3"/>
  <c r="O41" i="3"/>
  <c r="O42" i="3"/>
  <c r="O43" i="3"/>
  <c r="F13" i="3"/>
  <c r="O13" i="3" s="1"/>
  <c r="F14" i="3"/>
  <c r="O14" i="3" s="1"/>
  <c r="F15" i="3"/>
  <c r="O15" i="3" s="1"/>
  <c r="F16" i="3"/>
  <c r="O16" i="3" s="1"/>
  <c r="F17" i="3"/>
  <c r="O17" i="3" s="1"/>
  <c r="F18" i="3"/>
  <c r="O18" i="3" s="1"/>
  <c r="F19" i="3"/>
  <c r="O19" i="3" s="1"/>
  <c r="F71" i="9"/>
  <c r="F72" i="9" s="1"/>
  <c r="F69" i="9"/>
  <c r="F70" i="9" s="1"/>
  <c r="F67" i="9"/>
  <c r="F68" i="9" s="1"/>
  <c r="F69" i="6"/>
  <c r="F71" i="6"/>
  <c r="F67" i="6"/>
  <c r="O29" i="3" l="1"/>
  <c r="O31" i="3"/>
  <c r="O27" i="3"/>
  <c r="B68" i="9"/>
  <c r="B69" i="9" s="1"/>
  <c r="B70" i="9" s="1"/>
  <c r="B71" i="9" s="1"/>
  <c r="B72" i="9" s="1"/>
  <c r="C63" i="9"/>
  <c r="F61" i="9" s="1"/>
  <c r="F62" i="9" s="1"/>
  <c r="F58" i="9"/>
  <c r="F55" i="9"/>
  <c r="F56" i="9" s="1"/>
  <c r="F53" i="9"/>
  <c r="F54" i="9" s="1"/>
  <c r="F51" i="9"/>
  <c r="F52" i="9" s="1"/>
  <c r="B50" i="9"/>
  <c r="B51" i="9" s="1"/>
  <c r="B52" i="9" s="1"/>
  <c r="B53" i="9" s="1"/>
  <c r="B54" i="9" s="1"/>
  <c r="B55" i="9" s="1"/>
  <c r="B56" i="9" s="1"/>
  <c r="B57" i="9" s="1"/>
  <c r="B58" i="9" s="1"/>
  <c r="C46" i="9" s="1"/>
  <c r="C49" i="9" s="1"/>
  <c r="F49" i="9"/>
  <c r="F50" i="9" s="1"/>
  <c r="C45" i="9"/>
  <c r="F43" i="9" s="1"/>
  <c r="F44" i="9" s="1"/>
  <c r="F39" i="9"/>
  <c r="F40" i="9" s="1"/>
  <c r="F37" i="9"/>
  <c r="F38" i="9" s="1"/>
  <c r="F35" i="9"/>
  <c r="F36" i="9" s="1"/>
  <c r="F33" i="9"/>
  <c r="F34" i="9" s="1"/>
  <c r="F31" i="9"/>
  <c r="F32" i="9" s="1"/>
  <c r="B30" i="9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C26" i="9" s="1"/>
  <c r="C29" i="9" s="1"/>
  <c r="F29" i="9"/>
  <c r="F30" i="9" s="1"/>
  <c r="C25" i="9"/>
  <c r="F23" i="9" s="1"/>
  <c r="F24" i="9" s="1"/>
  <c r="F19" i="9"/>
  <c r="F20" i="9" s="1"/>
  <c r="F17" i="9"/>
  <c r="F18" i="9" s="1"/>
  <c r="F15" i="9"/>
  <c r="F16" i="9" s="1"/>
  <c r="F13" i="9"/>
  <c r="F14" i="9" s="1"/>
  <c r="F11" i="9"/>
  <c r="B10" i="9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C6" i="9" s="1"/>
  <c r="C9" i="9" s="1"/>
  <c r="F9" i="9"/>
  <c r="F10" i="9" s="1"/>
  <c r="C5" i="9"/>
  <c r="F3" i="9"/>
  <c r="F4" i="9" s="1"/>
  <c r="C64" i="9" l="1"/>
  <c r="G37" i="9"/>
  <c r="G38" i="9"/>
  <c r="G39" i="9"/>
  <c r="G34" i="9"/>
  <c r="G35" i="9"/>
  <c r="G31" i="9"/>
  <c r="G30" i="9"/>
  <c r="G40" i="9"/>
  <c r="G36" i="9"/>
  <c r="G32" i="9"/>
  <c r="G33" i="9"/>
  <c r="G29" i="9"/>
  <c r="G55" i="9"/>
  <c r="G52" i="9"/>
  <c r="G53" i="9"/>
  <c r="G49" i="9"/>
  <c r="G54" i="9"/>
  <c r="G50" i="9"/>
  <c r="G57" i="9"/>
  <c r="G56" i="9"/>
  <c r="G58" i="9"/>
  <c r="G51" i="9"/>
  <c r="F59" i="9"/>
  <c r="G69" i="9"/>
  <c r="G70" i="9"/>
  <c r="G71" i="9"/>
  <c r="G67" i="9"/>
  <c r="G72" i="9"/>
  <c r="G68" i="9"/>
  <c r="C10" i="9"/>
  <c r="D9" i="9"/>
  <c r="G14" i="9"/>
  <c r="G10" i="9"/>
  <c r="G19" i="9"/>
  <c r="G15" i="9"/>
  <c r="G11" i="9"/>
  <c r="G20" i="9"/>
  <c r="G16" i="9"/>
  <c r="G17" i="9"/>
  <c r="G13" i="9"/>
  <c r="G9" i="9"/>
  <c r="G18" i="9"/>
  <c r="D29" i="9"/>
  <c r="C30" i="9"/>
  <c r="C50" i="9"/>
  <c r="D49" i="9"/>
  <c r="F73" i="9"/>
  <c r="F12" i="9"/>
  <c r="F21" i="9" s="1"/>
  <c r="F41" i="9"/>
  <c r="E10" i="9" l="1"/>
  <c r="E50" i="9"/>
  <c r="G12" i="9"/>
  <c r="G21" i="9" s="1"/>
  <c r="E30" i="9"/>
  <c r="C67" i="9"/>
  <c r="E67" i="9" s="1"/>
  <c r="D50" i="9"/>
  <c r="C51" i="9"/>
  <c r="E51" i="9" s="1"/>
  <c r="C11" i="9"/>
  <c r="E11" i="9" s="1"/>
  <c r="D10" i="9"/>
  <c r="G59" i="9"/>
  <c r="E49" i="9"/>
  <c r="C31" i="9"/>
  <c r="E31" i="9" s="1"/>
  <c r="D30" i="9"/>
  <c r="E29" i="9"/>
  <c r="G41" i="9"/>
  <c r="G73" i="9"/>
  <c r="E9" i="9"/>
  <c r="D67" i="9" l="1"/>
  <c r="C68" i="9"/>
  <c r="D51" i="9"/>
  <c r="C52" i="9"/>
  <c r="D31" i="9"/>
  <c r="C32" i="9"/>
  <c r="D11" i="9"/>
  <c r="C12" i="9"/>
  <c r="E68" i="9" l="1"/>
  <c r="D68" i="9"/>
  <c r="C69" i="9"/>
  <c r="C53" i="9"/>
  <c r="D52" i="9"/>
  <c r="E52" i="9"/>
  <c r="C13" i="9"/>
  <c r="D12" i="9"/>
  <c r="E12" i="9"/>
  <c r="D32" i="9"/>
  <c r="C33" i="9"/>
  <c r="E32" i="9"/>
  <c r="D69" i="9" l="1"/>
  <c r="C70" i="9"/>
  <c r="E69" i="9"/>
  <c r="D33" i="9"/>
  <c r="C34" i="9"/>
  <c r="E33" i="9"/>
  <c r="C14" i="9"/>
  <c r="D13" i="9"/>
  <c r="E13" i="9"/>
  <c r="C54" i="9"/>
  <c r="D53" i="9"/>
  <c r="E53" i="9"/>
  <c r="C71" i="9" l="1"/>
  <c r="D70" i="9"/>
  <c r="E70" i="9"/>
  <c r="C35" i="9"/>
  <c r="D34" i="9"/>
  <c r="E34" i="9"/>
  <c r="C55" i="9"/>
  <c r="D54" i="9"/>
  <c r="E54" i="9"/>
  <c r="D14" i="9"/>
  <c r="C15" i="9"/>
  <c r="E14" i="9"/>
  <c r="C72" i="9" l="1"/>
  <c r="D71" i="9"/>
  <c r="E71" i="9"/>
  <c r="D15" i="9"/>
  <c r="C16" i="9"/>
  <c r="E15" i="9"/>
  <c r="D55" i="9"/>
  <c r="C56" i="9"/>
  <c r="E55" i="9"/>
  <c r="D35" i="9"/>
  <c r="C36" i="9"/>
  <c r="E35" i="9"/>
  <c r="D72" i="9" l="1"/>
  <c r="E72" i="9"/>
  <c r="C57" i="9"/>
  <c r="D56" i="9"/>
  <c r="E56" i="9"/>
  <c r="C37" i="9"/>
  <c r="D36" i="9"/>
  <c r="E36" i="9"/>
  <c r="C17" i="9"/>
  <c r="D16" i="9"/>
  <c r="E16" i="9"/>
  <c r="C58" i="9" l="1"/>
  <c r="D57" i="9"/>
  <c r="E57" i="9"/>
  <c r="D17" i="9"/>
  <c r="C18" i="9"/>
  <c r="E17" i="9"/>
  <c r="D37" i="9"/>
  <c r="C38" i="9"/>
  <c r="E37" i="9"/>
  <c r="C39" i="9" l="1"/>
  <c r="D38" i="9"/>
  <c r="E38" i="9"/>
  <c r="D58" i="9"/>
  <c r="E58" i="9"/>
  <c r="C19" i="9"/>
  <c r="D18" i="9"/>
  <c r="E18" i="9"/>
  <c r="C20" i="9" l="1"/>
  <c r="D19" i="9"/>
  <c r="E19" i="9"/>
  <c r="C40" i="9"/>
  <c r="D39" i="9"/>
  <c r="E39" i="9"/>
  <c r="D40" i="9" l="1"/>
  <c r="E40" i="9"/>
  <c r="D20" i="9"/>
  <c r="E20" i="9"/>
  <c r="F72" i="6" l="1"/>
  <c r="F70" i="6"/>
  <c r="F68" i="6"/>
  <c r="F58" i="6"/>
  <c r="F55" i="6"/>
  <c r="F56" i="6" s="1"/>
  <c r="F53" i="6"/>
  <c r="F54" i="6" s="1"/>
  <c r="F51" i="6"/>
  <c r="F52" i="6" s="1"/>
  <c r="F49" i="6"/>
  <c r="F50" i="6" s="1"/>
  <c r="F39" i="6"/>
  <c r="F40" i="6" s="1"/>
  <c r="F37" i="6"/>
  <c r="F38" i="6" s="1"/>
  <c r="F35" i="6"/>
  <c r="F36" i="6" s="1"/>
  <c r="F33" i="6"/>
  <c r="F34" i="6" s="1"/>
  <c r="F31" i="6"/>
  <c r="F32" i="6" s="1"/>
  <c r="F29" i="6"/>
  <c r="F30" i="6" s="1"/>
  <c r="F19" i="6"/>
  <c r="F20" i="6" s="1"/>
  <c r="F17" i="6"/>
  <c r="F18" i="6" s="1"/>
  <c r="F15" i="6"/>
  <c r="F16" i="6" s="1"/>
  <c r="F13" i="6"/>
  <c r="F14" i="6" s="1"/>
  <c r="F11" i="6"/>
  <c r="F12" i="6" s="1"/>
  <c r="F9" i="6"/>
  <c r="F10" i="6" s="1"/>
  <c r="F73" i="6" l="1"/>
  <c r="E26" i="1"/>
  <c r="D26" i="1" l="1"/>
  <c r="C31" i="3"/>
  <c r="D31" i="3" s="1"/>
  <c r="B26" i="3"/>
  <c r="B27" i="3"/>
  <c r="B28" i="3"/>
  <c r="B29" i="3"/>
  <c r="B30" i="3"/>
  <c r="B31" i="3"/>
  <c r="B37" i="3" l="1"/>
  <c r="B43" i="3"/>
  <c r="B42" i="3"/>
  <c r="B41" i="3"/>
  <c r="B40" i="3"/>
  <c r="B39" i="3"/>
  <c r="B38" i="3"/>
  <c r="E32" i="1"/>
  <c r="I32" i="1"/>
  <c r="J32" i="1"/>
  <c r="K32" i="1" s="1"/>
  <c r="L32" i="1"/>
  <c r="M32" i="1" s="1"/>
  <c r="E7" i="1"/>
  <c r="D7" i="1" l="1"/>
  <c r="C12" i="3"/>
  <c r="D32" i="1"/>
  <c r="C37" i="3"/>
  <c r="P32" i="1"/>
  <c r="N32" i="1"/>
  <c r="B68" i="6"/>
  <c r="B69" i="6" s="1"/>
  <c r="B70" i="6" s="1"/>
  <c r="B71" i="6" s="1"/>
  <c r="B72" i="6" s="1"/>
  <c r="C63" i="6"/>
  <c r="B50" i="6"/>
  <c r="B51" i="6" s="1"/>
  <c r="B52" i="6" s="1"/>
  <c r="B53" i="6" s="1"/>
  <c r="B54" i="6" s="1"/>
  <c r="B55" i="6" s="1"/>
  <c r="B56" i="6" s="1"/>
  <c r="B57" i="6" s="1"/>
  <c r="B58" i="6" s="1"/>
  <c r="C46" i="6" s="1"/>
  <c r="C45" i="6"/>
  <c r="B30" i="6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C25" i="6"/>
  <c r="B25" i="3"/>
  <c r="I26" i="1"/>
  <c r="J26" i="1"/>
  <c r="K26" i="1" s="1"/>
  <c r="L26" i="1"/>
  <c r="M26" i="1" s="1"/>
  <c r="E25" i="1"/>
  <c r="I25" i="1"/>
  <c r="J25" i="1"/>
  <c r="K25" i="1" s="1"/>
  <c r="L25" i="1"/>
  <c r="M25" i="1" s="1"/>
  <c r="E24" i="1"/>
  <c r="I24" i="1"/>
  <c r="J24" i="1"/>
  <c r="K24" i="1" s="1"/>
  <c r="L24" i="1"/>
  <c r="M24" i="1" s="1"/>
  <c r="E22" i="1"/>
  <c r="I22" i="1"/>
  <c r="J22" i="1"/>
  <c r="K22" i="1" s="1"/>
  <c r="L22" i="1"/>
  <c r="M22" i="1" s="1"/>
  <c r="E23" i="1"/>
  <c r="I23" i="1"/>
  <c r="J23" i="1"/>
  <c r="K23" i="1" s="1"/>
  <c r="L23" i="1"/>
  <c r="E21" i="1"/>
  <c r="I21" i="1"/>
  <c r="J21" i="1"/>
  <c r="K21" i="1" s="1"/>
  <c r="L21" i="1"/>
  <c r="M21" i="1" s="1"/>
  <c r="E20" i="1"/>
  <c r="I20" i="1"/>
  <c r="J20" i="1"/>
  <c r="K20" i="1" s="1"/>
  <c r="L20" i="1"/>
  <c r="M20" i="1" s="1"/>
  <c r="B14" i="3"/>
  <c r="B13" i="3"/>
  <c r="B12" i="3"/>
  <c r="B16" i="3"/>
  <c r="B15" i="3"/>
  <c r="B17" i="3"/>
  <c r="B19" i="3"/>
  <c r="B18" i="3"/>
  <c r="D21" i="1" l="1"/>
  <c r="C26" i="3"/>
  <c r="D26" i="3" s="1"/>
  <c r="D25" i="1"/>
  <c r="C30" i="3"/>
  <c r="D30" i="3" s="1"/>
  <c r="E37" i="3"/>
  <c r="F37" i="3" s="1"/>
  <c r="O37" i="3" s="1"/>
  <c r="D37" i="3"/>
  <c r="D24" i="1"/>
  <c r="C29" i="3"/>
  <c r="D29" i="3" s="1"/>
  <c r="M23" i="1"/>
  <c r="D23" i="1"/>
  <c r="C28" i="3"/>
  <c r="D28" i="3" s="1"/>
  <c r="E12" i="3"/>
  <c r="F12" i="3" s="1"/>
  <c r="O12" i="3" s="1"/>
  <c r="D12" i="3"/>
  <c r="C64" i="6"/>
  <c r="C67" i="6" s="1"/>
  <c r="D20" i="1"/>
  <c r="C25" i="3"/>
  <c r="D22" i="1"/>
  <c r="C27" i="3"/>
  <c r="D27" i="3" s="1"/>
  <c r="F23" i="6"/>
  <c r="F24" i="6" s="1"/>
  <c r="F43" i="6"/>
  <c r="F44" i="6" s="1"/>
  <c r="G53" i="6" s="1"/>
  <c r="F61" i="6"/>
  <c r="F62" i="6" s="1"/>
  <c r="G70" i="6" s="1"/>
  <c r="C49" i="6"/>
  <c r="C50" i="6" s="1"/>
  <c r="C51" i="6" s="1"/>
  <c r="C52" i="6" s="1"/>
  <c r="C53" i="6" s="1"/>
  <c r="C54" i="6" s="1"/>
  <c r="C55" i="6" s="1"/>
  <c r="C56" i="6" s="1"/>
  <c r="C57" i="6" s="1"/>
  <c r="C58" i="6" s="1"/>
  <c r="F59" i="6"/>
  <c r="C26" i="6"/>
  <c r="C29" i="6" s="1"/>
  <c r="F41" i="6"/>
  <c r="C68" i="6" l="1"/>
  <c r="C69" i="6" s="1"/>
  <c r="C70" i="6" s="1"/>
  <c r="C71" i="6" s="1"/>
  <c r="C72" i="6" s="1"/>
  <c r="D67" i="6"/>
  <c r="E25" i="3"/>
  <c r="F25" i="3" s="1"/>
  <c r="O25" i="3" s="1"/>
  <c r="D25" i="3"/>
  <c r="G38" i="6"/>
  <c r="G34" i="6"/>
  <c r="G33" i="6"/>
  <c r="G30" i="6"/>
  <c r="G40" i="6"/>
  <c r="G29" i="6"/>
  <c r="E29" i="6" s="1"/>
  <c r="G37" i="6"/>
  <c r="G36" i="6"/>
  <c r="G35" i="6"/>
  <c r="G32" i="6"/>
  <c r="G39" i="6"/>
  <c r="G31" i="6"/>
  <c r="G67" i="6"/>
  <c r="E67" i="6" s="1"/>
  <c r="G72" i="6"/>
  <c r="G68" i="6"/>
  <c r="G69" i="6"/>
  <c r="G71" i="6"/>
  <c r="G58" i="6"/>
  <c r="G52" i="6"/>
  <c r="G51" i="6"/>
  <c r="G57" i="6"/>
  <c r="E57" i="6" s="1"/>
  <c r="G49" i="6"/>
  <c r="E49" i="6" s="1"/>
  <c r="G55" i="6"/>
  <c r="G56" i="6"/>
  <c r="G50" i="6"/>
  <c r="G54" i="6"/>
  <c r="D68" i="6"/>
  <c r="D58" i="6"/>
  <c r="D57" i="6"/>
  <c r="E50" i="6"/>
  <c r="D49" i="6"/>
  <c r="C30" i="6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D29" i="6"/>
  <c r="D50" i="6"/>
  <c r="G73" i="6" l="1"/>
  <c r="G59" i="6"/>
  <c r="G41" i="6"/>
  <c r="E68" i="6"/>
  <c r="D69" i="6"/>
  <c r="E69" i="6"/>
  <c r="D30" i="6"/>
  <c r="E58" i="6"/>
  <c r="E30" i="6"/>
  <c r="D51" i="6"/>
  <c r="E51" i="6"/>
  <c r="D31" i="6"/>
  <c r="E31" i="6"/>
  <c r="D70" i="6" l="1"/>
  <c r="E70" i="6"/>
  <c r="D52" i="6"/>
  <c r="E52" i="6"/>
  <c r="D32" i="6"/>
  <c r="E32" i="6"/>
  <c r="B10" i="6"/>
  <c r="B11" i="6" s="1"/>
  <c r="B12" i="6" s="1"/>
  <c r="B13" i="6" s="1"/>
  <c r="B14" i="6" s="1"/>
  <c r="B15" i="6" s="1"/>
  <c r="B16" i="6" s="1"/>
  <c r="B17" i="6" s="1"/>
  <c r="F21" i="6"/>
  <c r="C5" i="6"/>
  <c r="F3" i="6" s="1"/>
  <c r="D71" i="6" l="1"/>
  <c r="E71" i="6"/>
  <c r="D53" i="6"/>
  <c r="E53" i="6"/>
  <c r="D33" i="6"/>
  <c r="E33" i="6"/>
  <c r="F4" i="6"/>
  <c r="B18" i="6"/>
  <c r="B19" i="6" s="1"/>
  <c r="B20" i="6" s="1"/>
  <c r="D72" i="6" l="1"/>
  <c r="E72" i="6"/>
  <c r="C6" i="6"/>
  <c r="C9" i="6" s="1"/>
  <c r="D54" i="6"/>
  <c r="E54" i="6"/>
  <c r="D34" i="6"/>
  <c r="E34" i="6"/>
  <c r="G9" i="6"/>
  <c r="G10" i="6"/>
  <c r="G12" i="6"/>
  <c r="G18" i="6"/>
  <c r="G11" i="6"/>
  <c r="G16" i="6"/>
  <c r="G14" i="6"/>
  <c r="G20" i="6"/>
  <c r="G15" i="6"/>
  <c r="G17" i="6"/>
  <c r="G13" i="6"/>
  <c r="G19" i="6"/>
  <c r="E9" i="6" l="1"/>
  <c r="D9" i="6"/>
  <c r="C10" i="6"/>
  <c r="C11" i="6" s="1"/>
  <c r="D55" i="6"/>
  <c r="E55" i="6"/>
  <c r="D35" i="6"/>
  <c r="E35" i="6"/>
  <c r="G21" i="6"/>
  <c r="E10" i="6" l="1"/>
  <c r="D10" i="6"/>
  <c r="D56" i="6"/>
  <c r="E56" i="6"/>
  <c r="D36" i="6"/>
  <c r="E36" i="6"/>
  <c r="D11" i="6"/>
  <c r="E11" i="6"/>
  <c r="C12" i="6"/>
  <c r="D37" i="6" l="1"/>
  <c r="E37" i="6"/>
  <c r="D12" i="6"/>
  <c r="C13" i="6"/>
  <c r="E12" i="6"/>
  <c r="D38" i="6" l="1"/>
  <c r="E38" i="6"/>
  <c r="D13" i="6"/>
  <c r="C14" i="6"/>
  <c r="E13" i="6"/>
  <c r="D39" i="6" l="1"/>
  <c r="E39" i="6"/>
  <c r="E14" i="6"/>
  <c r="D14" i="6"/>
  <c r="C15" i="6"/>
  <c r="D40" i="6" l="1"/>
  <c r="E40" i="6"/>
  <c r="C16" i="6"/>
  <c r="D15" i="6"/>
  <c r="E15" i="6"/>
  <c r="D16" i="6" l="1"/>
  <c r="C17" i="6"/>
  <c r="E16" i="6"/>
  <c r="C18" i="6" l="1"/>
  <c r="E17" i="6"/>
  <c r="D17" i="6"/>
  <c r="D18" i="6" l="1"/>
  <c r="C19" i="6"/>
  <c r="E18" i="6"/>
  <c r="C20" i="6" l="1"/>
  <c r="D19" i="6"/>
  <c r="E19" i="6"/>
  <c r="D20" i="6" l="1"/>
  <c r="E20" i="6"/>
  <c r="E38" i="1"/>
  <c r="E37" i="1"/>
  <c r="E33" i="1"/>
  <c r="E34" i="1"/>
  <c r="E35" i="1"/>
  <c r="E36" i="1"/>
  <c r="E13" i="1"/>
  <c r="E14" i="1"/>
  <c r="E12" i="1"/>
  <c r="E10" i="1"/>
  <c r="E11" i="1"/>
  <c r="E8" i="1"/>
  <c r="E9" i="1"/>
  <c r="J33" i="1"/>
  <c r="L33" i="1"/>
  <c r="M33" i="1" s="1"/>
  <c r="J37" i="1"/>
  <c r="L37" i="1"/>
  <c r="M37" i="1" s="1"/>
  <c r="J38" i="1"/>
  <c r="L38" i="1"/>
  <c r="M38" i="1" s="1"/>
  <c r="L34" i="1"/>
  <c r="J34" i="1"/>
  <c r="L35" i="1"/>
  <c r="M35" i="1" s="1"/>
  <c r="J35" i="1"/>
  <c r="L36" i="1"/>
  <c r="J36" i="1"/>
  <c r="I9" i="1"/>
  <c r="L12" i="1"/>
  <c r="M12" i="1" s="1"/>
  <c r="L14" i="1"/>
  <c r="M14" i="1" s="1"/>
  <c r="L13" i="1"/>
  <c r="M13" i="1" s="1"/>
  <c r="L10" i="1"/>
  <c r="M10" i="1" s="1"/>
  <c r="L11" i="1"/>
  <c r="M11" i="1" s="1"/>
  <c r="L7" i="1"/>
  <c r="M7" i="1" s="1"/>
  <c r="L8" i="1"/>
  <c r="M8" i="1" s="1"/>
  <c r="L9" i="1"/>
  <c r="M9" i="1" s="1"/>
  <c r="J12" i="1"/>
  <c r="J14" i="1"/>
  <c r="P14" i="1" s="1"/>
  <c r="J13" i="1"/>
  <c r="J9" i="1"/>
  <c r="J10" i="1"/>
  <c r="J11" i="1"/>
  <c r="J7" i="1"/>
  <c r="J8" i="1"/>
  <c r="P8" i="1" s="1"/>
  <c r="M34" i="1" l="1"/>
  <c r="D13" i="1"/>
  <c r="C18" i="3"/>
  <c r="D18" i="3" s="1"/>
  <c r="D36" i="1"/>
  <c r="C41" i="3"/>
  <c r="D41" i="3" s="1"/>
  <c r="D10" i="1"/>
  <c r="C15" i="3"/>
  <c r="D15" i="3" s="1"/>
  <c r="D37" i="1"/>
  <c r="C42" i="3"/>
  <c r="D42" i="3" s="1"/>
  <c r="D12" i="1"/>
  <c r="C17" i="3"/>
  <c r="D17" i="3" s="1"/>
  <c r="D9" i="1"/>
  <c r="C14" i="3"/>
  <c r="D14" i="3" s="1"/>
  <c r="D38" i="1"/>
  <c r="C43" i="3"/>
  <c r="D43" i="3" s="1"/>
  <c r="D14" i="1"/>
  <c r="C19" i="3"/>
  <c r="D19" i="3" s="1"/>
  <c r="D35" i="1"/>
  <c r="C40" i="3"/>
  <c r="D40" i="3" s="1"/>
  <c r="D34" i="1"/>
  <c r="C39" i="3"/>
  <c r="D39" i="3" s="1"/>
  <c r="M36" i="1"/>
  <c r="D8" i="1"/>
  <c r="C13" i="3"/>
  <c r="D13" i="3" s="1"/>
  <c r="P11" i="1"/>
  <c r="N11" i="1"/>
  <c r="D33" i="1"/>
  <c r="C38" i="3"/>
  <c r="D38" i="3" s="1"/>
  <c r="D11" i="1"/>
  <c r="C16" i="3"/>
  <c r="D16" i="3" s="1"/>
  <c r="P13" i="1"/>
  <c r="P9" i="1"/>
  <c r="P12" i="1"/>
  <c r="K12" i="1"/>
  <c r="N12" i="1"/>
  <c r="P22" i="1"/>
  <c r="N22" i="1"/>
  <c r="K38" i="1"/>
  <c r="P38" i="1"/>
  <c r="N38" i="1"/>
  <c r="P21" i="1"/>
  <c r="N21" i="1"/>
  <c r="K36" i="1"/>
  <c r="P36" i="1"/>
  <c r="N36" i="1"/>
  <c r="K37" i="1"/>
  <c r="P37" i="1"/>
  <c r="N37" i="1"/>
  <c r="K10" i="1"/>
  <c r="P10" i="1"/>
  <c r="N10" i="1"/>
  <c r="K9" i="1"/>
  <c r="N9" i="1"/>
  <c r="P23" i="1"/>
  <c r="N23" i="1"/>
  <c r="K11" i="1"/>
  <c r="P26" i="1"/>
  <c r="N26" i="1"/>
  <c r="K13" i="1"/>
  <c r="N13" i="1"/>
  <c r="K8" i="1"/>
  <c r="N8" i="1"/>
  <c r="K14" i="1"/>
  <c r="N14" i="1"/>
  <c r="K35" i="1"/>
  <c r="P35" i="1"/>
  <c r="N35" i="1"/>
  <c r="K33" i="1"/>
  <c r="P33" i="1"/>
  <c r="N33" i="1"/>
  <c r="P24" i="1"/>
  <c r="N24" i="1"/>
  <c r="K34" i="1"/>
  <c r="P34" i="1"/>
  <c r="N34" i="1"/>
  <c r="K7" i="1"/>
  <c r="P7" i="1"/>
  <c r="N7" i="1"/>
  <c r="P25" i="1"/>
  <c r="N25" i="1"/>
  <c r="P20" i="1"/>
  <c r="N20" i="1"/>
  <c r="I34" i="1"/>
  <c r="I33" i="1"/>
  <c r="I37" i="1"/>
  <c r="I38" i="1"/>
  <c r="I35" i="1"/>
  <c r="I36" i="1"/>
  <c r="I8" i="1"/>
  <c r="I7" i="1"/>
  <c r="I11" i="1"/>
  <c r="I10" i="1"/>
  <c r="I12" i="1"/>
  <c r="I14" i="1"/>
  <c r="I13" i="1"/>
</calcChain>
</file>

<file path=xl/sharedStrings.xml><?xml version="1.0" encoding="utf-8"?>
<sst xmlns="http://schemas.openxmlformats.org/spreadsheetml/2006/main" count="408" uniqueCount="68">
  <si>
    <t>Alternativa 3</t>
  </si>
  <si>
    <t>Cuenca</t>
  </si>
  <si>
    <t>Area</t>
  </si>
  <si>
    <t>Long. cauce</t>
  </si>
  <si>
    <t>[m²]</t>
  </si>
  <si>
    <t>[m]</t>
  </si>
  <si>
    <t>Alternativa 2</t>
  </si>
  <si>
    <t>Alternativa 1</t>
  </si>
  <si>
    <t>C</t>
  </si>
  <si>
    <t>Total</t>
  </si>
  <si>
    <t>Cota inicial</t>
  </si>
  <si>
    <t>Cota final</t>
  </si>
  <si>
    <t>Desnivel</t>
  </si>
  <si>
    <t>[hs]</t>
  </si>
  <si>
    <t>[min]</t>
  </si>
  <si>
    <t>R de Clark</t>
  </si>
  <si>
    <t>[km²]</t>
  </si>
  <si>
    <t>Grupo hidrológico del suelo:</t>
  </si>
  <si>
    <t>Pastizal</t>
  </si>
  <si>
    <t>Urbano</t>
  </si>
  <si>
    <t>Area urbana 70% es CN 90 y el 30% es CN 70</t>
  </si>
  <si>
    <t>Pastizal el 70% es CN 70 y el 30% es CN 81</t>
  </si>
  <si>
    <t>CN ponderado</t>
  </si>
  <si>
    <t>Consideraciones:</t>
  </si>
  <si>
    <t>TORMENTAS DE DISEÑO</t>
  </si>
  <si>
    <t>Patrones Temporales</t>
  </si>
  <si>
    <t>Ptotal =</t>
  </si>
  <si>
    <t>i (s/IDF) =</t>
  </si>
  <si>
    <t>Δt =</t>
  </si>
  <si>
    <t>Nro</t>
  </si>
  <si>
    <t>Duración</t>
  </si>
  <si>
    <t>I</t>
  </si>
  <si>
    <t>≤ DT ≤</t>
  </si>
  <si>
    <t>DT =</t>
  </si>
  <si>
    <t>Duraciones de tormenta</t>
  </si>
  <si>
    <t>[mm/h]</t>
  </si>
  <si>
    <t>[%]</t>
  </si>
  <si>
    <t>[mm]</t>
  </si>
  <si>
    <t>HPT</t>
  </si>
  <si>
    <t>Tr =</t>
  </si>
  <si>
    <t>Se proponen 4 duraciones diferentes 0,5 - 1 - 2 - 3 hs</t>
  </si>
  <si>
    <t>NUMERO DE CURVA</t>
  </si>
  <si>
    <t>[años]</t>
  </si>
  <si>
    <t>1,5TC</t>
  </si>
  <si>
    <t>3TC</t>
  </si>
  <si>
    <t>Area total</t>
  </si>
  <si>
    <t>Area urbana</t>
  </si>
  <si>
    <t>Area pastizal</t>
  </si>
  <si>
    <t>%</t>
  </si>
  <si>
    <t>CN</t>
  </si>
  <si>
    <t>Uso de suelo</t>
  </si>
  <si>
    <t>Caudal pico</t>
  </si>
  <si>
    <t>[m³/s]</t>
  </si>
  <si>
    <t xml:space="preserve"> 25 años</t>
  </si>
  <si>
    <t>50 años</t>
  </si>
  <si>
    <t>CUENCAS NOGOYÁ</t>
  </si>
  <si>
    <t>C1</t>
  </si>
  <si>
    <t>C2</t>
  </si>
  <si>
    <t>C3</t>
  </si>
  <si>
    <t>C4</t>
  </si>
  <si>
    <t>C5</t>
  </si>
  <si>
    <t>C6</t>
  </si>
  <si>
    <t>C7</t>
  </si>
  <si>
    <t>C8</t>
  </si>
  <si>
    <t>Tiempo de concentración</t>
  </si>
  <si>
    <t>λ</t>
  </si>
  <si>
    <t>adim.</t>
  </si>
  <si>
    <t>[has]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</si>
</sst>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B0F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"/>
      <name val="Arial"/>
      <family val="2"/>
    </font>
    <font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9" fontId="8" fillId="0" borderId="0" applyFont="0" applyFill="0" applyBorder="0" applyAlignment="0" applyProtection="0"/>
  </cellStyleXfs>
  <cellXfs count="167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2" fontId="3" fillId="0" borderId="0" xfId="0" applyNumberFormat="1" applyFont="1"/>
    <xf numFmtId="1" fontId="1" fillId="0" borderId="37" xfId="0" applyNumberFormat="1" applyFont="1" applyBorder="1" applyAlignment="1">
      <alignment horizontal="center"/>
    </xf>
    <xf numFmtId="2" fontId="1" fillId="0" borderId="38" xfId="0" applyNumberFormat="1" applyFont="1" applyBorder="1" applyAlignment="1">
      <alignment horizontal="center"/>
    </xf>
    <xf numFmtId="1" fontId="1" fillId="0" borderId="38" xfId="0" applyNumberFormat="1" applyFont="1" applyBorder="1" applyAlignment="1">
      <alignment horizontal="center"/>
    </xf>
    <xf numFmtId="2" fontId="1" fillId="0" borderId="32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2" fontId="1" fillId="0" borderId="40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1" fontId="1" fillId="0" borderId="29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2" fontId="1" fillId="0" borderId="41" xfId="0" applyNumberFormat="1" applyFont="1" applyBorder="1" applyAlignment="1">
      <alignment horizontal="center"/>
    </xf>
    <xf numFmtId="1" fontId="1" fillId="0" borderId="41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9" fontId="1" fillId="0" borderId="0" xfId="2" applyFont="1" applyFill="1" applyAlignment="1">
      <alignment horizontal="center"/>
    </xf>
    <xf numFmtId="1" fontId="3" fillId="0" borderId="0" xfId="0" applyNumberFormat="1" applyFont="1"/>
    <xf numFmtId="1" fontId="1" fillId="0" borderId="5" xfId="0" applyNumberFormat="1" applyFont="1" applyBorder="1" applyAlignment="1">
      <alignment horizontal="center"/>
    </xf>
    <xf numFmtId="2" fontId="1" fillId="0" borderId="42" xfId="0" applyNumberFormat="1" applyFont="1" applyBorder="1" applyAlignment="1">
      <alignment horizontal="center"/>
    </xf>
    <xf numFmtId="1" fontId="1" fillId="0" borderId="4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4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165" fontId="1" fillId="0" borderId="32" xfId="2" applyNumberFormat="1" applyFont="1" applyBorder="1" applyAlignment="1">
      <alignment horizontal="center"/>
    </xf>
    <xf numFmtId="165" fontId="1" fillId="0" borderId="3" xfId="2" applyNumberFormat="1" applyFont="1" applyBorder="1" applyAlignment="1">
      <alignment horizontal="center"/>
    </xf>
    <xf numFmtId="165" fontId="1" fillId="0" borderId="1" xfId="2" applyNumberFormat="1" applyFont="1" applyBorder="1" applyAlignment="1">
      <alignment horizontal="center"/>
    </xf>
    <xf numFmtId="165" fontId="1" fillId="0" borderId="2" xfId="2" applyNumberFormat="1" applyFont="1" applyBorder="1" applyAlignment="1">
      <alignment horizontal="center"/>
    </xf>
    <xf numFmtId="165" fontId="1" fillId="0" borderId="13" xfId="2" applyNumberFormat="1" applyFont="1" applyBorder="1" applyAlignment="1">
      <alignment horizontal="center"/>
    </xf>
    <xf numFmtId="164" fontId="3" fillId="0" borderId="0" xfId="0" applyNumberFormat="1" applyFont="1"/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2" fontId="7" fillId="0" borderId="5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2" fontId="4" fillId="0" borderId="52" xfId="0" applyNumberFormat="1" applyFont="1" applyBorder="1" applyAlignment="1">
      <alignment horizontal="center" vertical="center"/>
    </xf>
    <xf numFmtId="2" fontId="4" fillId="0" borderId="51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2" fontId="4" fillId="0" borderId="54" xfId="0" applyNumberFormat="1" applyFont="1" applyBorder="1" applyAlignment="1">
      <alignment horizontal="center" vertical="center"/>
    </xf>
    <xf numFmtId="2" fontId="4" fillId="0" borderId="55" xfId="0" applyNumberFormat="1" applyFont="1" applyBorder="1" applyAlignment="1">
      <alignment horizontal="center" vertical="center"/>
    </xf>
    <xf numFmtId="2" fontId="7" fillId="0" borderId="55" xfId="0" applyNumberFormat="1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2" fontId="4" fillId="0" borderId="56" xfId="0" applyNumberFormat="1" applyFont="1" applyBorder="1" applyAlignment="1">
      <alignment horizontal="center" vertical="center"/>
    </xf>
    <xf numFmtId="2" fontId="4" fillId="0" borderId="57" xfId="0" applyNumberFormat="1" applyFont="1" applyBorder="1" applyAlignment="1">
      <alignment horizontal="center" vertical="center"/>
    </xf>
    <xf numFmtId="2" fontId="7" fillId="0" borderId="57" xfId="0" applyNumberFormat="1" applyFont="1" applyBorder="1" applyAlignment="1">
      <alignment horizontal="center" vertical="center"/>
    </xf>
    <xf numFmtId="2" fontId="4" fillId="0" borderId="58" xfId="0" applyNumberFormat="1" applyFont="1" applyBorder="1" applyAlignment="1">
      <alignment horizontal="center" vertical="center"/>
    </xf>
    <xf numFmtId="2" fontId="4" fillId="0" borderId="59" xfId="0" applyNumberFormat="1" applyFont="1" applyBorder="1" applyAlignment="1">
      <alignment horizontal="center" vertical="center"/>
    </xf>
    <xf numFmtId="2" fontId="4" fillId="0" borderId="60" xfId="0" applyNumberFormat="1" applyFont="1" applyBorder="1" applyAlignment="1">
      <alignment horizontal="center" vertical="center"/>
    </xf>
    <xf numFmtId="2" fontId="4" fillId="0" borderId="61" xfId="0" applyNumberFormat="1" applyFont="1" applyBorder="1" applyAlignment="1">
      <alignment horizontal="center" vertical="center"/>
    </xf>
    <xf numFmtId="2" fontId="4" fillId="0" borderId="62" xfId="0" applyNumberFormat="1" applyFont="1" applyBorder="1" applyAlignment="1">
      <alignment horizontal="center" vertical="center"/>
    </xf>
    <xf numFmtId="2" fontId="4" fillId="0" borderId="63" xfId="0" applyNumberFormat="1" applyFont="1" applyBorder="1" applyAlignment="1">
      <alignment horizontal="center" vertical="center"/>
    </xf>
    <xf numFmtId="2" fontId="4" fillId="0" borderId="64" xfId="0" applyNumberFormat="1" applyFont="1" applyBorder="1" applyAlignment="1">
      <alignment horizontal="center" vertical="center"/>
    </xf>
    <xf numFmtId="2" fontId="4" fillId="0" borderId="65" xfId="0" applyNumberFormat="1" applyFont="1" applyBorder="1" applyAlignment="1">
      <alignment horizontal="center" vertical="center"/>
    </xf>
    <xf numFmtId="1" fontId="4" fillId="0" borderId="45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1" fontId="4" fillId="0" borderId="46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1" fontId="4" fillId="0" borderId="47" xfId="0" applyNumberFormat="1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2" fontId="7" fillId="0" borderId="36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9" fontId="1" fillId="0" borderId="67" xfId="0" applyNumberFormat="1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9" fontId="4" fillId="0" borderId="69" xfId="2" applyFont="1" applyFill="1" applyBorder="1" applyAlignment="1">
      <alignment horizontal="center" vertical="center"/>
    </xf>
    <xf numFmtId="1" fontId="4" fillId="0" borderId="68" xfId="0" applyNumberFormat="1" applyFont="1" applyBorder="1" applyAlignment="1">
      <alignment horizontal="center" vertical="center"/>
    </xf>
    <xf numFmtId="9" fontId="4" fillId="0" borderId="21" xfId="2" applyFont="1" applyFill="1" applyBorder="1" applyAlignment="1">
      <alignment horizontal="center" vertical="center"/>
    </xf>
    <xf numFmtId="1" fontId="4" fillId="0" borderId="63" xfId="0" applyNumberFormat="1" applyFont="1" applyBorder="1" applyAlignment="1">
      <alignment horizontal="center" vertical="center"/>
    </xf>
    <xf numFmtId="9" fontId="4" fillId="0" borderId="71" xfId="2" applyFont="1" applyFill="1" applyBorder="1" applyAlignment="1">
      <alignment horizontal="center" vertical="center"/>
    </xf>
    <xf numFmtId="1" fontId="4" fillId="0" borderId="70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4" fontId="1" fillId="0" borderId="0" xfId="0" applyNumberFormat="1" applyFont="1"/>
    <xf numFmtId="9" fontId="4" fillId="0" borderId="19" xfId="2" applyFont="1" applyFill="1" applyBorder="1" applyAlignment="1">
      <alignment horizontal="center" vertical="center"/>
    </xf>
    <xf numFmtId="9" fontId="4" fillId="0" borderId="4" xfId="2" applyFont="1" applyFill="1" applyBorder="1" applyAlignment="1">
      <alignment horizontal="center" vertical="center"/>
    </xf>
    <xf numFmtId="9" fontId="4" fillId="0" borderId="35" xfId="2" applyFont="1" applyFill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72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- 3 hs - Tr = 25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75-42EB-BBCB-FB445D54EB57}"/>
                </c:ext>
              </c:extLst>
            </c:dLbl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F75-42EB-BBCB-FB445D54EB5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75-42EB-BBCB-FB445D54EB5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75-42EB-BBCB-FB445D54EB5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75-42EB-BBCB-FB445D54EB5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75-42EB-BBCB-FB445D54EB5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75-42EB-BBCB-FB445D54EB57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25años'!$D$9:$D$20</c:f>
              <c:numCache>
                <c:formatCode>0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cat>
          <c:val>
            <c:numRef>
              <c:f>'TD 25años'!$G$9:$G$20</c:f>
              <c:numCache>
                <c:formatCode>0.00</c:formatCode>
                <c:ptCount val="12"/>
                <c:pt idx="0">
                  <c:v>26.701234761722134</c:v>
                </c:pt>
                <c:pt idx="1">
                  <c:v>26.701234761722134</c:v>
                </c:pt>
                <c:pt idx="2">
                  <c:v>11.810161529223253</c:v>
                </c:pt>
                <c:pt idx="3">
                  <c:v>11.810161529223253</c:v>
                </c:pt>
                <c:pt idx="4">
                  <c:v>6.161823406551262</c:v>
                </c:pt>
                <c:pt idx="5">
                  <c:v>6.161823406551262</c:v>
                </c:pt>
                <c:pt idx="6">
                  <c:v>3.5943969871549029</c:v>
                </c:pt>
                <c:pt idx="7">
                  <c:v>3.5943969871549029</c:v>
                </c:pt>
                <c:pt idx="8">
                  <c:v>2.0539411355170873</c:v>
                </c:pt>
                <c:pt idx="9">
                  <c:v>2.0539411355170873</c:v>
                </c:pt>
                <c:pt idx="10">
                  <c:v>1.0269705677585437</c:v>
                </c:pt>
                <c:pt idx="11">
                  <c:v>1.0269705677585437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048640"/>
        <c:axId val="266050560"/>
      </c:barChart>
      <c:catAx>
        <c:axId val="2660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6050560"/>
        <c:crosses val="autoZero"/>
        <c:auto val="1"/>
        <c:lblAlgn val="ctr"/>
        <c:lblOffset val="100"/>
        <c:noMultiLvlLbl val="0"/>
      </c:catAx>
      <c:valAx>
        <c:axId val="266050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60486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- 2 hs - Tr = 25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C0-42E4-8EC4-D23726168CEA}"/>
                </c:ext>
              </c:extLst>
            </c:dLbl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3C0-42E4-8EC4-D23726168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C0-42E4-8EC4-D23726168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C0-42E4-8EC4-D23726168CE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C0-42E4-8EC4-D23726168CE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C0-42E4-8EC4-D23726168CE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C0-42E4-8EC4-D23726168CEA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25años'!$D$29:$D$40</c:f>
              <c:numCache>
                <c:formatCode>0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49.999999999999993</c:v>
                </c:pt>
                <c:pt idx="5">
                  <c:v>59.999999999999993</c:v>
                </c:pt>
                <c:pt idx="6">
                  <c:v>69.999999999999986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110.00000000000001</c:v>
                </c:pt>
                <c:pt idx="11">
                  <c:v>120</c:v>
                </c:pt>
              </c:numCache>
            </c:numRef>
          </c:cat>
          <c:val>
            <c:numRef>
              <c:f>'TD 25años'!$G$29:$G$40</c:f>
              <c:numCache>
                <c:formatCode>0.00</c:formatCode>
                <c:ptCount val="12"/>
                <c:pt idx="0">
                  <c:v>11.1965701784906</c:v>
                </c:pt>
                <c:pt idx="1">
                  <c:v>11.1965701784906</c:v>
                </c:pt>
                <c:pt idx="2">
                  <c:v>23.736728778400071</c:v>
                </c:pt>
                <c:pt idx="3">
                  <c:v>23.736728778400071</c:v>
                </c:pt>
                <c:pt idx="4">
                  <c:v>4.9264908785358639</c:v>
                </c:pt>
                <c:pt idx="5">
                  <c:v>4.9264908785358639</c:v>
                </c:pt>
                <c:pt idx="6">
                  <c:v>2.6871768428377436</c:v>
                </c:pt>
                <c:pt idx="7">
                  <c:v>2.6871768428377436</c:v>
                </c:pt>
                <c:pt idx="8">
                  <c:v>1.3435884214188718</c:v>
                </c:pt>
                <c:pt idx="9">
                  <c:v>1.3435884214188718</c:v>
                </c:pt>
                <c:pt idx="10">
                  <c:v>0.89572561427924802</c:v>
                </c:pt>
                <c:pt idx="11">
                  <c:v>0.89572561427924802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358592"/>
        <c:axId val="267360512"/>
      </c:barChart>
      <c:catAx>
        <c:axId val="2673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7360512"/>
        <c:crosses val="autoZero"/>
        <c:auto val="1"/>
        <c:lblAlgn val="ctr"/>
        <c:lblOffset val="100"/>
        <c:noMultiLvlLbl val="0"/>
      </c:catAx>
      <c:valAx>
        <c:axId val="267360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73585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- 1 hs - Tr = 25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DF-4988-A945-90ACE26F34EF}"/>
                </c:ext>
              </c:extLst>
            </c:dLbl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4DF-4988-A945-90ACE26F34E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DF-4988-A945-90ACE26F34E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DF-4988-A945-90ACE26F34E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DF-4988-A945-90ACE26F34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DF-4988-A945-90ACE26F34EF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25años'!$D$49:$D$58</c:f>
              <c:numCache>
                <c:formatCode>0</c:formatCode>
                <c:ptCount val="10"/>
                <c:pt idx="0">
                  <c:v>6</c:v>
                </c:pt>
                <c:pt idx="1">
                  <c:v>12</c:v>
                </c:pt>
                <c:pt idx="2">
                  <c:v>18.000000000000004</c:v>
                </c:pt>
                <c:pt idx="3">
                  <c:v>24</c:v>
                </c:pt>
                <c:pt idx="4">
                  <c:v>30</c:v>
                </c:pt>
                <c:pt idx="5">
                  <c:v>36</c:v>
                </c:pt>
                <c:pt idx="6">
                  <c:v>42</c:v>
                </c:pt>
                <c:pt idx="7">
                  <c:v>47.999999999999993</c:v>
                </c:pt>
                <c:pt idx="8">
                  <c:v>53.999999999999993</c:v>
                </c:pt>
                <c:pt idx="9">
                  <c:v>59.999999999999993</c:v>
                </c:pt>
              </c:numCache>
            </c:numRef>
          </c:cat>
          <c:val>
            <c:numRef>
              <c:f>'TD 25años'!$G$49:$G$58</c:f>
              <c:numCache>
                <c:formatCode>0.00</c:formatCode>
                <c:ptCount val="10"/>
                <c:pt idx="0">
                  <c:v>9.0961729828407289</c:v>
                </c:pt>
                <c:pt idx="1">
                  <c:v>9.0961729828407289</c:v>
                </c:pt>
                <c:pt idx="2">
                  <c:v>17.84249315864912</c:v>
                </c:pt>
                <c:pt idx="3">
                  <c:v>17.84249315864912</c:v>
                </c:pt>
                <c:pt idx="4">
                  <c:v>4.5480864914203645</c:v>
                </c:pt>
                <c:pt idx="5">
                  <c:v>4.5480864914203645</c:v>
                </c:pt>
                <c:pt idx="6">
                  <c:v>2.44896964922635</c:v>
                </c:pt>
                <c:pt idx="7">
                  <c:v>2.44896964922635</c:v>
                </c:pt>
                <c:pt idx="8">
                  <c:v>1.049558421097007</c:v>
                </c:pt>
                <c:pt idx="9">
                  <c:v>1.049558421097007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382144"/>
        <c:axId val="267404800"/>
      </c:barChart>
      <c:catAx>
        <c:axId val="26738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7404800"/>
        <c:crosses val="autoZero"/>
        <c:auto val="1"/>
        <c:lblAlgn val="ctr"/>
        <c:lblOffset val="100"/>
        <c:noMultiLvlLbl val="0"/>
      </c:catAx>
      <c:valAx>
        <c:axId val="26740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7382144"/>
        <c:crosses val="autoZero"/>
        <c:crossBetween val="between"/>
        <c:majorUnit val="5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- 0,5 hs - Tr = 25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212-4539-BEF7-7D1C877DCC9B}"/>
                </c:ext>
              </c:extLst>
            </c:dLbl>
            <c:dLbl>
              <c:idx val="3"/>
              <c:layout>
                <c:manualLayout>
                  <c:x val="9.62121212121206E-3"/>
                  <c:y val="0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12-4539-BEF7-7D1C877DCC9B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25años'!$D$67:$D$72</c:f>
              <c:numCache>
                <c:formatCode>0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24.999999999999996</c:v>
                </c:pt>
                <c:pt idx="5">
                  <c:v>29.999999999999996</c:v>
                </c:pt>
              </c:numCache>
            </c:numRef>
          </c:cat>
          <c:val>
            <c:numRef>
              <c:f>'TD 25años'!$G$67:$G$72</c:f>
              <c:numCache>
                <c:formatCode>0.00</c:formatCode>
                <c:ptCount val="6"/>
                <c:pt idx="0">
                  <c:v>8.5043658616197106</c:v>
                </c:pt>
                <c:pt idx="1">
                  <c:v>8.5043658616197106</c:v>
                </c:pt>
                <c:pt idx="2">
                  <c:v>13.288071658780797</c:v>
                </c:pt>
                <c:pt idx="3">
                  <c:v>13.288071658780797</c:v>
                </c:pt>
                <c:pt idx="4">
                  <c:v>4.7837057971610868</c:v>
                </c:pt>
                <c:pt idx="5">
                  <c:v>4.7837057971610868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449088"/>
        <c:axId val="267451008"/>
      </c:barChart>
      <c:catAx>
        <c:axId val="26744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7451008"/>
        <c:crosses val="autoZero"/>
        <c:auto val="1"/>
        <c:lblAlgn val="ctr"/>
        <c:lblOffset val="100"/>
        <c:noMultiLvlLbl val="0"/>
      </c:catAx>
      <c:valAx>
        <c:axId val="267451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74490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- 3 hs - Tr = 50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D4-4B35-860C-A8DF7F2ABB32}"/>
                </c:ext>
              </c:extLst>
            </c:dLbl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FD4-4B35-860C-A8DF7F2ABB3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D4-4B35-860C-A8DF7F2ABB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D4-4B35-860C-A8DF7F2ABB3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D4-4B35-860C-A8DF7F2ABB3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D4-4B35-860C-A8DF7F2ABB3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D4-4B35-860C-A8DF7F2ABB32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50años'!$D$9:$D$20</c:f>
              <c:numCache>
                <c:formatCode>0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</c:numCache>
            </c:numRef>
          </c:cat>
          <c:val>
            <c:numRef>
              <c:f>'TD 50años'!$G$9:$G$20</c:f>
              <c:numCache>
                <c:formatCode>0.00</c:formatCode>
                <c:ptCount val="12"/>
                <c:pt idx="0">
                  <c:v>31.316141316192859</c:v>
                </c:pt>
                <c:pt idx="1">
                  <c:v>31.316141316192859</c:v>
                </c:pt>
                <c:pt idx="2">
                  <c:v>13.85137019754684</c:v>
                </c:pt>
                <c:pt idx="3">
                  <c:v>13.85137019754684</c:v>
                </c:pt>
                <c:pt idx="4">
                  <c:v>7.2268018421983511</c:v>
                </c:pt>
                <c:pt idx="5">
                  <c:v>7.2268018421983511</c:v>
                </c:pt>
                <c:pt idx="6">
                  <c:v>4.2156344079490387</c:v>
                </c:pt>
                <c:pt idx="7">
                  <c:v>4.2156344079490387</c:v>
                </c:pt>
                <c:pt idx="8">
                  <c:v>2.4089339473994507</c:v>
                </c:pt>
                <c:pt idx="9">
                  <c:v>2.4089339473994507</c:v>
                </c:pt>
                <c:pt idx="10">
                  <c:v>1.2044669736997253</c:v>
                </c:pt>
                <c:pt idx="11">
                  <c:v>1.2044669736997253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501952"/>
        <c:axId val="267503872"/>
      </c:barChart>
      <c:catAx>
        <c:axId val="26750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7503872"/>
        <c:crosses val="autoZero"/>
        <c:auto val="1"/>
        <c:lblAlgn val="ctr"/>
        <c:lblOffset val="100"/>
        <c:noMultiLvlLbl val="0"/>
      </c:catAx>
      <c:valAx>
        <c:axId val="267503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75019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- 2 hs - Tr = 50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8A-4D78-BADE-467246B6CE79}"/>
                </c:ext>
              </c:extLst>
            </c:dLbl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D8A-4D78-BADE-467246B6CE7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D8A-4D78-BADE-467246B6CE7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8A-4D78-BADE-467246B6CE7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8A-4D78-BADE-467246B6CE7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8A-4D78-BADE-467246B6CE7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8A-4D78-BADE-467246B6CE7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50años'!$D$29:$D$40</c:f>
              <c:numCache>
                <c:formatCode>0</c:formatCode>
                <c:ptCount val="12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49.999999999999993</c:v>
                </c:pt>
                <c:pt idx="5">
                  <c:v>59.999999999999993</c:v>
                </c:pt>
                <c:pt idx="6">
                  <c:v>69.999999999999986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110.00000000000001</c:v>
                </c:pt>
                <c:pt idx="11">
                  <c:v>120</c:v>
                </c:pt>
              </c:numCache>
            </c:numRef>
          </c:cat>
          <c:val>
            <c:numRef>
              <c:f>'TD 50años'!$G$29:$G$40</c:f>
              <c:numCache>
                <c:formatCode>0.00</c:formatCode>
                <c:ptCount val="12"/>
                <c:pt idx="0">
                  <c:v>13.131728816861191</c:v>
                </c:pt>
                <c:pt idx="1">
                  <c:v>13.131728816861191</c:v>
                </c:pt>
                <c:pt idx="2">
                  <c:v>27.839265091745727</c:v>
                </c:pt>
                <c:pt idx="3">
                  <c:v>27.839265091745727</c:v>
                </c:pt>
                <c:pt idx="4">
                  <c:v>5.777960679418924</c:v>
                </c:pt>
                <c:pt idx="5">
                  <c:v>5.777960679418924</c:v>
                </c:pt>
                <c:pt idx="6">
                  <c:v>3.1516149160466855</c:v>
                </c:pt>
                <c:pt idx="7">
                  <c:v>3.1516149160466855</c:v>
                </c:pt>
                <c:pt idx="8">
                  <c:v>1.5758074580233428</c:v>
                </c:pt>
                <c:pt idx="9">
                  <c:v>1.5758074580233428</c:v>
                </c:pt>
                <c:pt idx="10">
                  <c:v>1.0505383053488953</c:v>
                </c:pt>
                <c:pt idx="11">
                  <c:v>1.0505383053488953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434816"/>
        <c:axId val="266445184"/>
      </c:barChart>
      <c:catAx>
        <c:axId val="2664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6445184"/>
        <c:crosses val="autoZero"/>
        <c:auto val="1"/>
        <c:lblAlgn val="ctr"/>
        <c:lblOffset val="100"/>
        <c:noMultiLvlLbl val="0"/>
      </c:catAx>
      <c:valAx>
        <c:axId val="266445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64348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- 1 hs - Tr = 50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F6-4123-8F0B-CB9DED8C2A7E}"/>
                </c:ext>
              </c:extLst>
            </c:dLbl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BF6-4123-8F0B-CB9DED8C2A7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BF6-4123-8F0B-CB9DED8C2A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F6-4123-8F0B-CB9DED8C2A7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BF6-4123-8F0B-CB9DED8C2A7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F6-4123-8F0B-CB9DED8C2A7E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50años'!$D$49:$D$58</c:f>
              <c:numCache>
                <c:formatCode>0</c:formatCode>
                <c:ptCount val="10"/>
                <c:pt idx="0">
                  <c:v>6</c:v>
                </c:pt>
                <c:pt idx="1">
                  <c:v>12</c:v>
                </c:pt>
                <c:pt idx="2">
                  <c:v>18.000000000000004</c:v>
                </c:pt>
                <c:pt idx="3">
                  <c:v>24</c:v>
                </c:pt>
                <c:pt idx="4">
                  <c:v>30</c:v>
                </c:pt>
                <c:pt idx="5">
                  <c:v>36</c:v>
                </c:pt>
                <c:pt idx="6">
                  <c:v>42</c:v>
                </c:pt>
                <c:pt idx="7">
                  <c:v>47.999999999999993</c:v>
                </c:pt>
                <c:pt idx="8">
                  <c:v>53.999999999999993</c:v>
                </c:pt>
                <c:pt idx="9">
                  <c:v>59.999999999999993</c:v>
                </c:pt>
              </c:numCache>
            </c:numRef>
          </c:cat>
          <c:val>
            <c:numRef>
              <c:f>'TD 50años'!$G$49:$G$58</c:f>
              <c:numCache>
                <c:formatCode>0.00</c:formatCode>
                <c:ptCount val="10"/>
                <c:pt idx="0">
                  <c:v>10.668309578534393</c:v>
                </c:pt>
                <c:pt idx="1">
                  <c:v>10.668309578534393</c:v>
                </c:pt>
                <c:pt idx="2">
                  <c:v>20.926299557894385</c:v>
                </c:pt>
                <c:pt idx="3">
                  <c:v>20.926299557894385</c:v>
                </c:pt>
                <c:pt idx="4">
                  <c:v>5.3341547892671963</c:v>
                </c:pt>
                <c:pt idx="5">
                  <c:v>5.3341547892671963</c:v>
                </c:pt>
                <c:pt idx="6">
                  <c:v>2.8722371942207983</c:v>
                </c:pt>
                <c:pt idx="7">
                  <c:v>2.8722371942207983</c:v>
                </c:pt>
                <c:pt idx="8">
                  <c:v>1.230958797523199</c:v>
                </c:pt>
                <c:pt idx="9">
                  <c:v>1.230958797523199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479104"/>
        <c:axId val="266481024"/>
      </c:barChart>
      <c:catAx>
        <c:axId val="2664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6481024"/>
        <c:crosses val="autoZero"/>
        <c:auto val="1"/>
        <c:lblAlgn val="ctr"/>
        <c:lblOffset val="100"/>
        <c:noMultiLvlLbl val="0"/>
      </c:catAx>
      <c:valAx>
        <c:axId val="266481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6479104"/>
        <c:crosses val="autoZero"/>
        <c:crossBetween val="between"/>
        <c:majorUnit val="5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es-AR" sz="1800"/>
              <a:t>Hietograma de diseño - 0,5 hs - Tr = 50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E1E-4C45-BF93-C26A2DCD08FE}"/>
                </c:ext>
              </c:extLst>
            </c:dLbl>
            <c:dLbl>
              <c:idx val="3"/>
              <c:layout>
                <c:manualLayout>
                  <c:x val="9.62121212121206E-3"/>
                  <c:y val="0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E-4C45-BF93-C26A2DCD08FE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'TD 50años'!$D$67:$D$72</c:f>
              <c:numCache>
                <c:formatCode>0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24.999999999999996</c:v>
                </c:pt>
                <c:pt idx="5">
                  <c:v>29.999999999999996</c:v>
                </c:pt>
              </c:numCache>
            </c:numRef>
          </c:cat>
          <c:val>
            <c:numRef>
              <c:f>'TD 50años'!$G$67:$G$72</c:f>
              <c:numCache>
                <c:formatCode>0.00</c:formatCode>
                <c:ptCount val="6"/>
                <c:pt idx="0">
                  <c:v>9.974217503562075</c:v>
                </c:pt>
                <c:pt idx="1">
                  <c:v>9.974217503562075</c:v>
                </c:pt>
                <c:pt idx="2">
                  <c:v>15.584714849315743</c:v>
                </c:pt>
                <c:pt idx="3">
                  <c:v>15.584714849315743</c:v>
                </c:pt>
                <c:pt idx="4">
                  <c:v>5.6104973457536671</c:v>
                </c:pt>
                <c:pt idx="5">
                  <c:v>5.6104973457536671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1-4545-816E-F0A92FC76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6613504"/>
        <c:axId val="266615424"/>
      </c:barChart>
      <c:catAx>
        <c:axId val="2666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AR"/>
                  <a:t>Tiempo [min]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66615424"/>
        <c:crosses val="autoZero"/>
        <c:auto val="1"/>
        <c:lblAlgn val="ctr"/>
        <c:lblOffset val="100"/>
        <c:noMultiLvlLbl val="0"/>
      </c:catAx>
      <c:valAx>
        <c:axId val="266615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AR"/>
                  <a:t>Precipitación [mm]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666135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0">
          <a:latin typeface="Arial" panose="020B0604020202020204" pitchFamily="34" charset="0"/>
          <a:ea typeface="Verdana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image" Target="../media/image5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724282</xdr:colOff>
      <xdr:row>6</xdr:row>
      <xdr:rowOff>179916</xdr:rowOff>
    </xdr:from>
    <xdr:to>
      <xdr:col>23</xdr:col>
      <xdr:colOff>761173</xdr:colOff>
      <xdr:row>17</xdr:row>
      <xdr:rowOff>44449</xdr:rowOff>
    </xdr:to>
    <xdr:pic>
      <xdr:nvPicPr>
        <xdr:cNvPr id="2" name="Imagen 1" descr="Método del Número de Curva del SC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4865" y="1280583"/>
          <a:ext cx="5370891" cy="19600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522817</xdr:colOff>
      <xdr:row>19</xdr:row>
      <xdr:rowOff>127000</xdr:rowOff>
    </xdr:from>
    <xdr:to>
      <xdr:col>22</xdr:col>
      <xdr:colOff>323402</xdr:colOff>
      <xdr:row>48</xdr:row>
      <xdr:rowOff>14510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153400" y="3714750"/>
          <a:ext cx="4372585" cy="53802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409573</xdr:colOff>
      <xdr:row>1</xdr:row>
      <xdr:rowOff>179915</xdr:rowOff>
    </xdr:from>
    <xdr:to>
      <xdr:col>15</xdr:col>
      <xdr:colOff>433573</xdr:colOff>
      <xdr:row>20</xdr:row>
      <xdr:rowOff>2057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402167</xdr:colOff>
      <xdr:row>21</xdr:row>
      <xdr:rowOff>148165</xdr:rowOff>
    </xdr:from>
    <xdr:to>
      <xdr:col>15</xdr:col>
      <xdr:colOff>426167</xdr:colOff>
      <xdr:row>39</xdr:row>
      <xdr:rowOff>171391</xdr:rowOff>
    </xdr:to>
    <xdr:graphicFrame macro="">
      <xdr:nvGraphicFramePr>
        <xdr:cNvPr id="7" name="3 Gráfico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402168</xdr:colOff>
      <xdr:row>40</xdr:row>
      <xdr:rowOff>126999</xdr:rowOff>
    </xdr:from>
    <xdr:to>
      <xdr:col>15</xdr:col>
      <xdr:colOff>426168</xdr:colOff>
      <xdr:row>58</xdr:row>
      <xdr:rowOff>150225</xdr:rowOff>
    </xdr:to>
    <xdr:graphicFrame macro="">
      <xdr:nvGraphicFramePr>
        <xdr:cNvPr id="13" name="3 Gráfico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402166</xdr:colOff>
      <xdr:row>61</xdr:row>
      <xdr:rowOff>52917</xdr:rowOff>
    </xdr:from>
    <xdr:to>
      <xdr:col>15</xdr:col>
      <xdr:colOff>426166</xdr:colOff>
      <xdr:row>79</xdr:row>
      <xdr:rowOff>124767</xdr:rowOff>
    </xdr:to>
    <xdr:graphicFrame macro="">
      <xdr:nvGraphicFramePr>
        <xdr:cNvPr id="14" name="3 Gráfico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16</xdr:col>
      <xdr:colOff>476250</xdr:colOff>
      <xdr:row>4</xdr:row>
      <xdr:rowOff>154782</xdr:rowOff>
    </xdr:from>
    <xdr:to>
      <xdr:col>28</xdr:col>
      <xdr:colOff>48841</xdr:colOff>
      <xdr:row>33</xdr:row>
      <xdr:rowOff>15031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668250" y="881063"/>
          <a:ext cx="8716591" cy="5325218"/>
        </a:xfrm>
        <a:prstGeom prst="rect">
          <a:avLst/>
        </a:prstGeom>
      </xdr:spPr>
    </xdr:pic>
    <xdr:clientData/>
  </xdr:twoCellAnchor>
  <xdr:twoCellAnchor editAs="oneCell">
    <xdr:from>
      <xdr:col>16</xdr:col>
      <xdr:colOff>476252</xdr:colOff>
      <xdr:row>33</xdr:row>
      <xdr:rowOff>142877</xdr:rowOff>
    </xdr:from>
    <xdr:to>
      <xdr:col>28</xdr:col>
      <xdr:colOff>39317</xdr:colOff>
      <xdr:row>62</xdr:row>
      <xdr:rowOff>103150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668252" y="6334127"/>
          <a:ext cx="8707065" cy="5401429"/>
        </a:xfrm>
        <a:prstGeom prst="rect">
          <a:avLst/>
        </a:prstGeom>
      </xdr:spPr>
    </xdr:pic>
    <xdr:clientData/>
  </xdr:twoCellAnchor>
  <xdr:twoCellAnchor editAs="oneCell">
    <xdr:from>
      <xdr:col>16</xdr:col>
      <xdr:colOff>309564</xdr:colOff>
      <xdr:row>63</xdr:row>
      <xdr:rowOff>11901</xdr:rowOff>
    </xdr:from>
    <xdr:to>
      <xdr:col>29</xdr:col>
      <xdr:colOff>615789</xdr:colOff>
      <xdr:row>82</xdr:row>
      <xdr:rowOff>52878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501564" y="11822901"/>
          <a:ext cx="10212225" cy="35533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409573</xdr:colOff>
      <xdr:row>1</xdr:row>
      <xdr:rowOff>179915</xdr:rowOff>
    </xdr:from>
    <xdr:to>
      <xdr:col>15</xdr:col>
      <xdr:colOff>433573</xdr:colOff>
      <xdr:row>20</xdr:row>
      <xdr:rowOff>2057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402167</xdr:colOff>
      <xdr:row>21</xdr:row>
      <xdr:rowOff>148165</xdr:rowOff>
    </xdr:from>
    <xdr:to>
      <xdr:col>15</xdr:col>
      <xdr:colOff>426167</xdr:colOff>
      <xdr:row>39</xdr:row>
      <xdr:rowOff>171391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402168</xdr:colOff>
      <xdr:row>40</xdr:row>
      <xdr:rowOff>126999</xdr:rowOff>
    </xdr:from>
    <xdr:to>
      <xdr:col>15</xdr:col>
      <xdr:colOff>426168</xdr:colOff>
      <xdr:row>58</xdr:row>
      <xdr:rowOff>150225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402166</xdr:colOff>
      <xdr:row>61</xdr:row>
      <xdr:rowOff>52917</xdr:rowOff>
    </xdr:from>
    <xdr:to>
      <xdr:col>15</xdr:col>
      <xdr:colOff>426166</xdr:colOff>
      <xdr:row>79</xdr:row>
      <xdr:rowOff>124767</xdr:rowOff>
    </xdr:to>
    <xdr:graphicFrame macro="">
      <xdr:nvGraphicFramePr>
        <xdr:cNvPr id="5" name="3 Gráfi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16</xdr:col>
      <xdr:colOff>476250</xdr:colOff>
      <xdr:row>4</xdr:row>
      <xdr:rowOff>154782</xdr:rowOff>
    </xdr:from>
    <xdr:to>
      <xdr:col>28</xdr:col>
      <xdr:colOff>48841</xdr:colOff>
      <xdr:row>33</xdr:row>
      <xdr:rowOff>15031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668250" y="888207"/>
          <a:ext cx="8716591" cy="5337124"/>
        </a:xfrm>
        <a:prstGeom prst="rect">
          <a:avLst/>
        </a:prstGeom>
      </xdr:spPr>
    </xdr:pic>
    <xdr:clientData/>
  </xdr:twoCellAnchor>
  <xdr:twoCellAnchor editAs="oneCell">
    <xdr:from>
      <xdr:col>16</xdr:col>
      <xdr:colOff>488159</xdr:colOff>
      <xdr:row>34</xdr:row>
      <xdr:rowOff>107157</xdr:rowOff>
    </xdr:from>
    <xdr:to>
      <xdr:col>28</xdr:col>
      <xdr:colOff>51224</xdr:colOff>
      <xdr:row>63</xdr:row>
      <xdr:rowOff>79336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680159" y="6488907"/>
          <a:ext cx="8707065" cy="5401429"/>
        </a:xfrm>
        <a:prstGeom prst="rect">
          <a:avLst/>
        </a:prstGeom>
      </xdr:spPr>
    </xdr:pic>
    <xdr:clientData/>
  </xdr:twoCellAnchor>
  <xdr:twoCellAnchor editAs="oneCell">
    <xdr:from>
      <xdr:col>16</xdr:col>
      <xdr:colOff>1</xdr:colOff>
      <xdr:row>65</xdr:row>
      <xdr:rowOff>47622</xdr:rowOff>
    </xdr:from>
    <xdr:to>
      <xdr:col>29</xdr:col>
      <xdr:colOff>306226</xdr:colOff>
      <xdr:row>84</xdr:row>
      <xdr:rowOff>112412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192001" y="12239622"/>
          <a:ext cx="10212225" cy="3553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9"/>
  <sheetViews>
    <sheetView showGridLines="0" topLeftCell="A7" zoomScaleNormal="100" workbookViewId="0">
      <selection activeCell="Q38" sqref="Q38"/>
    </sheetView>
  </sheetViews>
  <sheetFormatPr baseColWidth="10" defaultRowHeight="14.25" x14ac:dyDescent="0.25"/>
  <cols>
    <col min="1" max="1" width="11.42578125" style="1"/>
    <col min="2" max="2" width="11.42578125" style="59" customWidth="1"/>
    <col min="3" max="4" width="13" style="59" customWidth="1"/>
    <col min="5" max="5" width="11.85546875" style="59" customWidth="1"/>
    <col min="6" max="6" width="13.42578125" style="59" customWidth="1"/>
    <col min="7" max="7" width="12.140625" style="59" customWidth="1"/>
    <col min="8" max="8" width="11.42578125" style="59" customWidth="1"/>
    <col min="9" max="9" width="11.85546875" style="59" customWidth="1"/>
    <col min="10" max="10" width="11.42578125" style="59"/>
    <col min="11" max="11" width="11.42578125" style="59" customWidth="1"/>
    <col min="12" max="14" width="11.5703125" style="59" customWidth="1"/>
    <col min="15" max="15" width="11.5703125" style="61" customWidth="1"/>
    <col min="16" max="16" width="11.5703125" style="59" customWidth="1"/>
    <col min="17" max="16384" width="11.42578125" style="1"/>
  </cols>
  <sheetData>
    <row r="1" spans="2:17" ht="15" x14ac:dyDescent="0.25">
      <c r="B1" s="58" t="s">
        <v>55</v>
      </c>
      <c r="N1" s="60" t="s">
        <v>40</v>
      </c>
    </row>
    <row r="3" spans="2:17" ht="15.75" customHeight="1" x14ac:dyDescent="0.25">
      <c r="B3" s="129" t="s">
        <v>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2:17" ht="15.75" customHeight="1" x14ac:dyDescent="0.25">
      <c r="B4" s="123" t="s">
        <v>1</v>
      </c>
      <c r="C4" s="129" t="s">
        <v>2</v>
      </c>
      <c r="D4" s="130"/>
      <c r="E4" s="131"/>
      <c r="F4" s="123" t="s">
        <v>3</v>
      </c>
      <c r="G4" s="129" t="s">
        <v>10</v>
      </c>
      <c r="H4" s="123" t="s">
        <v>11</v>
      </c>
      <c r="I4" s="131" t="s">
        <v>12</v>
      </c>
      <c r="J4" s="125" t="s">
        <v>64</v>
      </c>
      <c r="K4" s="126"/>
      <c r="L4" s="123" t="s">
        <v>15</v>
      </c>
      <c r="M4" s="123" t="s">
        <v>65</v>
      </c>
      <c r="N4" s="132" t="s">
        <v>34</v>
      </c>
      <c r="O4" s="133"/>
      <c r="P4" s="134"/>
    </row>
    <row r="5" spans="2:17" ht="15" customHeight="1" x14ac:dyDescent="0.25">
      <c r="B5" s="135"/>
      <c r="C5" s="136"/>
      <c r="D5" s="137"/>
      <c r="E5" s="138"/>
      <c r="F5" s="124"/>
      <c r="G5" s="136"/>
      <c r="H5" s="124"/>
      <c r="I5" s="138"/>
      <c r="J5" s="127"/>
      <c r="K5" s="128"/>
      <c r="L5" s="124"/>
      <c r="M5" s="124"/>
      <c r="N5" s="62" t="s">
        <v>43</v>
      </c>
      <c r="O5" s="69" t="s">
        <v>32</v>
      </c>
      <c r="P5" s="66" t="s">
        <v>44</v>
      </c>
      <c r="Q5" s="4"/>
    </row>
    <row r="6" spans="2:17" x14ac:dyDescent="0.25">
      <c r="B6" s="124"/>
      <c r="C6" s="74" t="s">
        <v>4</v>
      </c>
      <c r="D6" s="74" t="s">
        <v>67</v>
      </c>
      <c r="E6" s="74" t="s">
        <v>16</v>
      </c>
      <c r="F6" s="121" t="s">
        <v>5</v>
      </c>
      <c r="G6" s="121" t="s">
        <v>5</v>
      </c>
      <c r="H6" s="120" t="s">
        <v>5</v>
      </c>
      <c r="I6" s="120" t="s">
        <v>5</v>
      </c>
      <c r="J6" s="122" t="s">
        <v>13</v>
      </c>
      <c r="K6" s="73" t="s">
        <v>14</v>
      </c>
      <c r="L6" s="122" t="s">
        <v>13</v>
      </c>
      <c r="M6" s="122" t="s">
        <v>66</v>
      </c>
      <c r="N6" s="120" t="s">
        <v>13</v>
      </c>
      <c r="O6" s="70" t="s">
        <v>13</v>
      </c>
      <c r="P6" s="74" t="s">
        <v>13</v>
      </c>
    </row>
    <row r="7" spans="2:17" ht="14.25" customHeight="1" x14ac:dyDescent="0.25">
      <c r="B7" s="81" t="s">
        <v>56</v>
      </c>
      <c r="C7" s="89">
        <v>5916067.8037999999</v>
      </c>
      <c r="D7" s="89">
        <f>+E7*100</f>
        <v>591.60678038000003</v>
      </c>
      <c r="E7" s="82">
        <f t="shared" ref="E7:E14" si="0">+C7/1000^2</f>
        <v>5.9160678037999999</v>
      </c>
      <c r="F7" s="82">
        <v>3475.7071000000001</v>
      </c>
      <c r="G7" s="82">
        <v>61</v>
      </c>
      <c r="H7" s="83">
        <v>35.5</v>
      </c>
      <c r="I7" s="83">
        <f t="shared" ref="I7:I14" si="1">+G7-H7</f>
        <v>25.5</v>
      </c>
      <c r="J7" s="83">
        <f t="shared" ref="J7:J14" si="2">(1.54*(F7/1609.34)^0.875*(((G7-H7)/F7)*1609.344/0.3048)^(-0.181))</f>
        <v>1.5583498617061831</v>
      </c>
      <c r="K7" s="83">
        <f t="shared" ref="K7:K14" si="3">J7*60</f>
        <v>93.500991702370982</v>
      </c>
      <c r="L7" s="82">
        <f t="shared" ref="L7:L14" si="4">(16.4*(F7/1609.34)^0.342*(((G7-H7)/F7)*1609.344/0.3048)^(-0.79))</f>
        <v>1.187363315023207</v>
      </c>
      <c r="M7" s="88">
        <f>+L7/(J7+L7)</f>
        <v>0.43244258908265065</v>
      </c>
      <c r="N7" s="83">
        <f t="shared" ref="N7:N14" si="5">1.5*J7</f>
        <v>2.3375247925592744</v>
      </c>
      <c r="O7" s="84">
        <v>3</v>
      </c>
      <c r="P7" s="82">
        <f t="shared" ref="P7:P14" si="6">3*J7</f>
        <v>4.6750495851185487</v>
      </c>
      <c r="Q7" s="3"/>
    </row>
    <row r="8" spans="2:17" ht="14.25" customHeight="1" x14ac:dyDescent="0.25">
      <c r="B8" s="76" t="s">
        <v>57</v>
      </c>
      <c r="C8" s="90">
        <v>569952.34349999996</v>
      </c>
      <c r="D8" s="90">
        <f t="shared" ref="D8:D14" si="7">+E8*100</f>
        <v>56.995234350000004</v>
      </c>
      <c r="E8" s="64">
        <f t="shared" si="0"/>
        <v>0.56995234350000001</v>
      </c>
      <c r="F8" s="64">
        <v>1482.3248000000001</v>
      </c>
      <c r="G8" s="64">
        <v>59</v>
      </c>
      <c r="H8" s="65">
        <v>40</v>
      </c>
      <c r="I8" s="65">
        <f t="shared" si="1"/>
        <v>19</v>
      </c>
      <c r="J8" s="65">
        <f t="shared" si="2"/>
        <v>0.66829613991372427</v>
      </c>
      <c r="K8" s="65">
        <f t="shared" si="3"/>
        <v>40.097768394823454</v>
      </c>
      <c r="L8" s="64">
        <f t="shared" si="4"/>
        <v>0.57092893649996579</v>
      </c>
      <c r="M8" s="86">
        <f t="shared" ref="M8:M14" si="8">+L8/(J8+L8)</f>
        <v>0.46071447985238539</v>
      </c>
      <c r="N8" s="65">
        <f t="shared" si="5"/>
        <v>1.0024442098705864</v>
      </c>
      <c r="O8" s="67">
        <v>2</v>
      </c>
      <c r="P8" s="64">
        <f t="shared" si="6"/>
        <v>2.0048884197411727</v>
      </c>
      <c r="Q8" s="3"/>
    </row>
    <row r="9" spans="2:17" ht="14.25" customHeight="1" x14ac:dyDescent="0.25">
      <c r="B9" s="76" t="s">
        <v>58</v>
      </c>
      <c r="C9" s="90">
        <v>257294.49460000001</v>
      </c>
      <c r="D9" s="90">
        <f t="shared" si="7"/>
        <v>25.729449459999998</v>
      </c>
      <c r="E9" s="64">
        <f t="shared" si="0"/>
        <v>0.25729449459999998</v>
      </c>
      <c r="F9" s="64">
        <v>1025.5632000000001</v>
      </c>
      <c r="G9" s="64">
        <v>57</v>
      </c>
      <c r="H9" s="65">
        <v>46</v>
      </c>
      <c r="I9" s="65">
        <f t="shared" si="1"/>
        <v>11</v>
      </c>
      <c r="J9" s="65">
        <f t="shared" si="2"/>
        <v>0.50002463280928411</v>
      </c>
      <c r="K9" s="65">
        <f t="shared" si="3"/>
        <v>30.001477968557047</v>
      </c>
      <c r="L9" s="64">
        <f t="shared" si="4"/>
        <v>0.5794270257428733</v>
      </c>
      <c r="M9" s="86">
        <f t="shared" si="8"/>
        <v>0.53677904068445714</v>
      </c>
      <c r="N9" s="65">
        <f t="shared" si="5"/>
        <v>0.75003694921392616</v>
      </c>
      <c r="O9" s="67">
        <v>1</v>
      </c>
      <c r="P9" s="64">
        <f t="shared" si="6"/>
        <v>1.5000738984278523</v>
      </c>
      <c r="Q9" s="3"/>
    </row>
    <row r="10" spans="2:17" ht="15" x14ac:dyDescent="0.25">
      <c r="B10" s="76" t="s">
        <v>59</v>
      </c>
      <c r="C10" s="90">
        <v>224232.495</v>
      </c>
      <c r="D10" s="90">
        <f t="shared" si="7"/>
        <v>22.423249500000001</v>
      </c>
      <c r="E10" s="64">
        <f t="shared" si="0"/>
        <v>0.224232495</v>
      </c>
      <c r="F10" s="64">
        <v>530.88969999999995</v>
      </c>
      <c r="G10" s="64">
        <v>61</v>
      </c>
      <c r="H10" s="65">
        <v>52.5</v>
      </c>
      <c r="I10" s="65">
        <f t="shared" si="1"/>
        <v>8.5</v>
      </c>
      <c r="J10" s="65">
        <f t="shared" si="2"/>
        <v>0.26138873413236968</v>
      </c>
      <c r="K10" s="65">
        <f t="shared" si="3"/>
        <v>15.683324047942181</v>
      </c>
      <c r="L10" s="64">
        <f t="shared" si="4"/>
        <v>0.33709585734333114</v>
      </c>
      <c r="M10" s="86">
        <f t="shared" si="8"/>
        <v>0.56324901617290446</v>
      </c>
      <c r="N10" s="65">
        <f t="shared" si="5"/>
        <v>0.3920831011985545</v>
      </c>
      <c r="O10" s="67">
        <v>0.5</v>
      </c>
      <c r="P10" s="64">
        <f t="shared" si="6"/>
        <v>0.78416620239710899</v>
      </c>
      <c r="Q10" s="3"/>
    </row>
    <row r="11" spans="2:17" ht="15" x14ac:dyDescent="0.25">
      <c r="B11" s="76" t="s">
        <v>60</v>
      </c>
      <c r="C11" s="90">
        <v>175404.4142</v>
      </c>
      <c r="D11" s="90">
        <f t="shared" si="7"/>
        <v>17.540441420000001</v>
      </c>
      <c r="E11" s="64">
        <f t="shared" si="0"/>
        <v>0.1754044142</v>
      </c>
      <c r="F11" s="64">
        <v>512.1798</v>
      </c>
      <c r="G11" s="64">
        <v>61</v>
      </c>
      <c r="H11" s="65">
        <v>55</v>
      </c>
      <c r="I11" s="65">
        <f t="shared" si="1"/>
        <v>6</v>
      </c>
      <c r="J11" s="65">
        <f t="shared" si="2"/>
        <v>0.26804757199446244</v>
      </c>
      <c r="K11" s="65">
        <f t="shared" si="3"/>
        <v>16.082854319667746</v>
      </c>
      <c r="L11" s="64">
        <f t="shared" si="4"/>
        <v>0.42620272387899349</v>
      </c>
      <c r="M11" s="86">
        <f t="shared" si="8"/>
        <v>0.61390355382243766</v>
      </c>
      <c r="N11" s="65">
        <f t="shared" si="5"/>
        <v>0.40207135799169369</v>
      </c>
      <c r="O11" s="67">
        <v>0.5</v>
      </c>
      <c r="P11" s="64">
        <f t="shared" si="6"/>
        <v>0.80414271598338738</v>
      </c>
      <c r="Q11" s="3"/>
    </row>
    <row r="12" spans="2:17" ht="15" x14ac:dyDescent="0.25">
      <c r="B12" s="76" t="s">
        <v>61</v>
      </c>
      <c r="C12" s="90">
        <v>58314.085899999998</v>
      </c>
      <c r="D12" s="90">
        <f t="shared" si="7"/>
        <v>5.8314085899999997</v>
      </c>
      <c r="E12" s="64">
        <f t="shared" si="0"/>
        <v>5.83140859E-2</v>
      </c>
      <c r="F12" s="64">
        <v>452.35539999999997</v>
      </c>
      <c r="G12" s="64">
        <v>64</v>
      </c>
      <c r="H12" s="65">
        <v>61</v>
      </c>
      <c r="I12" s="65">
        <f t="shared" si="1"/>
        <v>3</v>
      </c>
      <c r="J12" s="65">
        <f t="shared" si="2"/>
        <v>0.26652309656219664</v>
      </c>
      <c r="K12" s="65">
        <f t="shared" si="3"/>
        <v>15.991385793731798</v>
      </c>
      <c r="L12" s="64">
        <f t="shared" si="4"/>
        <v>0.64027540329356736</v>
      </c>
      <c r="M12" s="86">
        <f t="shared" si="8"/>
        <v>0.70608343903900372</v>
      </c>
      <c r="N12" s="65">
        <f t="shared" si="5"/>
        <v>0.39978464484329496</v>
      </c>
      <c r="O12" s="67">
        <v>0.5</v>
      </c>
      <c r="P12" s="64">
        <f t="shared" si="6"/>
        <v>0.79956928968658991</v>
      </c>
      <c r="Q12" s="3"/>
    </row>
    <row r="13" spans="2:17" ht="14.25" customHeight="1" x14ac:dyDescent="0.25">
      <c r="B13" s="76" t="s">
        <v>62</v>
      </c>
      <c r="C13" s="90">
        <v>2888530.4238999998</v>
      </c>
      <c r="D13" s="90">
        <f t="shared" si="7"/>
        <v>288.85304238999998</v>
      </c>
      <c r="E13" s="64">
        <f t="shared" si="0"/>
        <v>2.8885304238999998</v>
      </c>
      <c r="F13" s="64">
        <v>2461.0745999999999</v>
      </c>
      <c r="G13" s="64">
        <v>67.599999999999994</v>
      </c>
      <c r="H13" s="65">
        <v>48</v>
      </c>
      <c r="I13" s="65">
        <f t="shared" si="1"/>
        <v>19.599999999999994</v>
      </c>
      <c r="J13" s="65">
        <f t="shared" si="2"/>
        <v>1.135106387869784</v>
      </c>
      <c r="K13" s="65">
        <f t="shared" si="3"/>
        <v>68.106383272187045</v>
      </c>
      <c r="L13" s="64">
        <f t="shared" si="4"/>
        <v>0.98891838796888931</v>
      </c>
      <c r="M13" s="86">
        <f t="shared" si="8"/>
        <v>0.46558703044243632</v>
      </c>
      <c r="N13" s="65">
        <f t="shared" si="5"/>
        <v>1.7026595818046761</v>
      </c>
      <c r="O13" s="67">
        <v>2</v>
      </c>
      <c r="P13" s="64">
        <f t="shared" si="6"/>
        <v>3.4053191636093523</v>
      </c>
      <c r="Q13" s="3"/>
    </row>
    <row r="14" spans="2:17" ht="14.25" customHeight="1" x14ac:dyDescent="0.25">
      <c r="B14" s="77" t="s">
        <v>63</v>
      </c>
      <c r="C14" s="92">
        <v>415682.93449999997</v>
      </c>
      <c r="D14" s="92">
        <f t="shared" si="7"/>
        <v>41.568293449999999</v>
      </c>
      <c r="E14" s="78">
        <f t="shared" si="0"/>
        <v>0.41568293449999999</v>
      </c>
      <c r="F14" s="78">
        <v>1072.0782999999999</v>
      </c>
      <c r="G14" s="78">
        <v>61</v>
      </c>
      <c r="H14" s="79">
        <v>46</v>
      </c>
      <c r="I14" s="79">
        <f t="shared" si="1"/>
        <v>15</v>
      </c>
      <c r="J14" s="79">
        <f t="shared" si="2"/>
        <v>0.49539751385190017</v>
      </c>
      <c r="K14" s="79">
        <f t="shared" si="3"/>
        <v>29.72385083111401</v>
      </c>
      <c r="L14" s="78">
        <f t="shared" si="4"/>
        <v>0.47686320051892428</v>
      </c>
      <c r="M14" s="87">
        <f t="shared" si="8"/>
        <v>0.49046844480136692</v>
      </c>
      <c r="N14" s="79">
        <f t="shared" si="5"/>
        <v>0.74309627077785023</v>
      </c>
      <c r="O14" s="80">
        <v>1</v>
      </c>
      <c r="P14" s="78">
        <f t="shared" si="6"/>
        <v>1.4861925415557005</v>
      </c>
      <c r="Q14" s="3"/>
    </row>
    <row r="15" spans="2:17" x14ac:dyDescent="0.25">
      <c r="N15" s="63"/>
      <c r="P15" s="63"/>
    </row>
    <row r="16" spans="2:17" ht="15" x14ac:dyDescent="0.25">
      <c r="B16" s="129" t="s">
        <v>6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1"/>
    </row>
    <row r="17" spans="2:17" ht="15" customHeight="1" x14ac:dyDescent="0.25">
      <c r="B17" s="123" t="s">
        <v>1</v>
      </c>
      <c r="C17" s="129" t="s">
        <v>2</v>
      </c>
      <c r="D17" s="130"/>
      <c r="E17" s="131"/>
      <c r="F17" s="123" t="s">
        <v>3</v>
      </c>
      <c r="G17" s="129" t="s">
        <v>10</v>
      </c>
      <c r="H17" s="123" t="s">
        <v>11</v>
      </c>
      <c r="I17" s="131" t="s">
        <v>12</v>
      </c>
      <c r="J17" s="125" t="s">
        <v>64</v>
      </c>
      <c r="K17" s="126"/>
      <c r="L17" s="123" t="s">
        <v>15</v>
      </c>
      <c r="M17" s="123" t="s">
        <v>65</v>
      </c>
      <c r="N17" s="132" t="s">
        <v>34</v>
      </c>
      <c r="O17" s="133"/>
      <c r="P17" s="134"/>
    </row>
    <row r="18" spans="2:17" ht="15" customHeight="1" x14ac:dyDescent="0.25">
      <c r="B18" s="135"/>
      <c r="C18" s="136"/>
      <c r="D18" s="137"/>
      <c r="E18" s="138"/>
      <c r="F18" s="124"/>
      <c r="G18" s="136"/>
      <c r="H18" s="124"/>
      <c r="I18" s="138"/>
      <c r="J18" s="127"/>
      <c r="K18" s="128"/>
      <c r="L18" s="124"/>
      <c r="M18" s="124"/>
      <c r="N18" s="62" t="s">
        <v>43</v>
      </c>
      <c r="O18" s="69" t="s">
        <v>32</v>
      </c>
      <c r="P18" s="66" t="s">
        <v>44</v>
      </c>
    </row>
    <row r="19" spans="2:17" x14ac:dyDescent="0.25">
      <c r="B19" s="124"/>
      <c r="C19" s="74" t="s">
        <v>4</v>
      </c>
      <c r="D19" s="74" t="s">
        <v>67</v>
      </c>
      <c r="E19" s="74" t="s">
        <v>16</v>
      </c>
      <c r="F19" s="121" t="s">
        <v>5</v>
      </c>
      <c r="G19" s="121" t="s">
        <v>5</v>
      </c>
      <c r="H19" s="120" t="s">
        <v>5</v>
      </c>
      <c r="I19" s="120" t="s">
        <v>5</v>
      </c>
      <c r="J19" s="122" t="s">
        <v>13</v>
      </c>
      <c r="K19" s="73" t="s">
        <v>14</v>
      </c>
      <c r="L19" s="121" t="s">
        <v>13</v>
      </c>
      <c r="M19" s="121" t="s">
        <v>66</v>
      </c>
      <c r="N19" s="120" t="s">
        <v>13</v>
      </c>
      <c r="O19" s="70" t="s">
        <v>13</v>
      </c>
      <c r="P19" s="74" t="s">
        <v>13</v>
      </c>
    </row>
    <row r="20" spans="2:17" ht="14.25" customHeight="1" x14ac:dyDescent="0.25">
      <c r="B20" s="81" t="s">
        <v>56</v>
      </c>
      <c r="C20" s="89">
        <v>5897898.6962000001</v>
      </c>
      <c r="D20" s="89">
        <f>+E20*100</f>
        <v>589.78986961999999</v>
      </c>
      <c r="E20" s="82">
        <f t="shared" ref="E20:E26" si="9">+C20/1000^2</f>
        <v>5.8978986962000004</v>
      </c>
      <c r="F20" s="82">
        <v>3416.6880000000001</v>
      </c>
      <c r="G20" s="82">
        <v>61</v>
      </c>
      <c r="H20" s="83">
        <v>35.5</v>
      </c>
      <c r="I20" s="83">
        <f t="shared" ref="I20:I26" si="10">+G20-H20</f>
        <v>25.5</v>
      </c>
      <c r="J20" s="83">
        <f t="shared" ref="J20:J26" si="11">(1.54*(F20/1609.34)^0.875*(((G20-H20)/F20)*1609.344/0.3048)^(-0.181))</f>
        <v>1.5304198802222673</v>
      </c>
      <c r="K20" s="83">
        <f t="shared" ref="K20:K26" si="12">J20*60</f>
        <v>91.825192813336031</v>
      </c>
      <c r="L20" s="82">
        <f t="shared" ref="L20:L26" si="13">(16.4*(F20/1609.34)^0.342*(((G20-H20)/F20)*1609.344/0.3048)^(-0.79))</f>
        <v>1.1645656661323402</v>
      </c>
      <c r="M20" s="88">
        <f>+L20/(J20+L20)</f>
        <v>0.4321231583997171</v>
      </c>
      <c r="N20" s="83">
        <f t="shared" ref="N20:N26" si="14">1.5*J20</f>
        <v>2.2956298203334011</v>
      </c>
      <c r="O20" s="84">
        <v>3</v>
      </c>
      <c r="P20" s="82">
        <f t="shared" ref="P20:P26" si="15">3*J20</f>
        <v>4.5912596406668023</v>
      </c>
      <c r="Q20" s="3"/>
    </row>
    <row r="21" spans="2:17" ht="14.25" customHeight="1" x14ac:dyDescent="0.25">
      <c r="B21" s="76" t="s">
        <v>57</v>
      </c>
      <c r="C21" s="90">
        <v>430020.61790000001</v>
      </c>
      <c r="D21" s="90">
        <f t="shared" ref="D21:D26" si="16">+E21*100</f>
        <v>43.002061789999999</v>
      </c>
      <c r="E21" s="64">
        <f t="shared" si="9"/>
        <v>0.43002061790000001</v>
      </c>
      <c r="F21" s="64">
        <v>1454.3741</v>
      </c>
      <c r="G21" s="64">
        <v>59</v>
      </c>
      <c r="H21" s="65">
        <v>40</v>
      </c>
      <c r="I21" s="65">
        <f t="shared" si="10"/>
        <v>19</v>
      </c>
      <c r="J21" s="65">
        <f t="shared" si="11"/>
        <v>0.65499614553941099</v>
      </c>
      <c r="K21" s="65">
        <f t="shared" si="12"/>
        <v>39.299768732364662</v>
      </c>
      <c r="L21" s="64">
        <f t="shared" si="13"/>
        <v>0.55875771955773956</v>
      </c>
      <c r="M21" s="86">
        <f t="shared" ref="M21:M26" si="17">+L21/(J21+L21)</f>
        <v>0.46035504860206222</v>
      </c>
      <c r="N21" s="65">
        <f t="shared" si="14"/>
        <v>0.98249421830911654</v>
      </c>
      <c r="O21" s="67">
        <v>1</v>
      </c>
      <c r="P21" s="64">
        <f t="shared" si="15"/>
        <v>1.9649884366182331</v>
      </c>
      <c r="Q21" s="3"/>
    </row>
    <row r="22" spans="2:17" ht="14.25" customHeight="1" x14ac:dyDescent="0.25">
      <c r="B22" s="76" t="s">
        <v>58</v>
      </c>
      <c r="C22" s="90">
        <v>158267.15280000001</v>
      </c>
      <c r="D22" s="90">
        <f t="shared" si="16"/>
        <v>15.82671528</v>
      </c>
      <c r="E22" s="64">
        <f t="shared" si="9"/>
        <v>0.1582671528</v>
      </c>
      <c r="F22" s="64">
        <v>915.85289999999998</v>
      </c>
      <c r="G22" s="64">
        <v>59</v>
      </c>
      <c r="H22" s="65">
        <v>48</v>
      </c>
      <c r="I22" s="65">
        <f t="shared" si="10"/>
        <v>11</v>
      </c>
      <c r="J22" s="65">
        <f t="shared" si="11"/>
        <v>0.44371390660617149</v>
      </c>
      <c r="K22" s="65">
        <f t="shared" si="12"/>
        <v>26.62283439637029</v>
      </c>
      <c r="L22" s="64">
        <f t="shared" si="13"/>
        <v>0.50977202524604082</v>
      </c>
      <c r="M22" s="86">
        <f t="shared" si="17"/>
        <v>0.53464032159947383</v>
      </c>
      <c r="N22" s="65">
        <f t="shared" si="14"/>
        <v>0.66557085990925724</v>
      </c>
      <c r="O22" s="67">
        <v>1</v>
      </c>
      <c r="P22" s="64">
        <f t="shared" si="15"/>
        <v>1.3311417198185145</v>
      </c>
      <c r="Q22" s="3"/>
    </row>
    <row r="23" spans="2:17" ht="14.25" customHeight="1" x14ac:dyDescent="0.25">
      <c r="B23" s="76" t="s">
        <v>59</v>
      </c>
      <c r="C23" s="90">
        <v>34987.9954</v>
      </c>
      <c r="D23" s="90">
        <f t="shared" si="16"/>
        <v>3.4987995399999998</v>
      </c>
      <c r="E23" s="64">
        <f t="shared" si="9"/>
        <v>3.4987995399999999E-2</v>
      </c>
      <c r="F23" s="64">
        <v>163.14830000000001</v>
      </c>
      <c r="G23" s="64">
        <v>61.5</v>
      </c>
      <c r="H23" s="65">
        <v>60</v>
      </c>
      <c r="I23" s="65">
        <f t="shared" si="10"/>
        <v>1.5</v>
      </c>
      <c r="J23" s="65">
        <f t="shared" si="11"/>
        <v>0.10292522112070458</v>
      </c>
      <c r="K23" s="65">
        <f t="shared" si="12"/>
        <v>6.175513267242275</v>
      </c>
      <c r="L23" s="64">
        <f t="shared" si="13"/>
        <v>0.34899632582523116</v>
      </c>
      <c r="M23" s="86">
        <f t="shared" si="17"/>
        <v>0.7722498034973807</v>
      </c>
      <c r="N23" s="65">
        <f t="shared" si="14"/>
        <v>0.15438783168105688</v>
      </c>
      <c r="O23" s="67">
        <v>0.5</v>
      </c>
      <c r="P23" s="64">
        <f t="shared" si="15"/>
        <v>0.30877566336211376</v>
      </c>
      <c r="Q23" s="3"/>
    </row>
    <row r="24" spans="2:17" ht="14.25" customHeight="1" x14ac:dyDescent="0.25">
      <c r="B24" s="75" t="s">
        <v>60</v>
      </c>
      <c r="C24" s="91">
        <v>548812.64969999995</v>
      </c>
      <c r="D24" s="91">
        <f t="shared" si="16"/>
        <v>54.881264969999997</v>
      </c>
      <c r="E24" s="71">
        <f t="shared" si="9"/>
        <v>0.54881264969999999</v>
      </c>
      <c r="F24" s="71">
        <v>1376.1617000000001</v>
      </c>
      <c r="G24" s="71">
        <v>64</v>
      </c>
      <c r="H24" s="72">
        <v>53</v>
      </c>
      <c r="I24" s="72">
        <f t="shared" si="10"/>
        <v>11</v>
      </c>
      <c r="J24" s="72">
        <f t="shared" si="11"/>
        <v>0.68210311327323447</v>
      </c>
      <c r="K24" s="72">
        <f t="shared" si="12"/>
        <v>40.92618679639407</v>
      </c>
      <c r="L24" s="71">
        <f t="shared" si="13"/>
        <v>0.8082823860530598</v>
      </c>
      <c r="M24" s="85">
        <f t="shared" si="17"/>
        <v>0.54233108576165778</v>
      </c>
      <c r="N24" s="72">
        <f t="shared" si="14"/>
        <v>1.0231546699098517</v>
      </c>
      <c r="O24" s="68">
        <v>2</v>
      </c>
      <c r="P24" s="71">
        <f t="shared" si="15"/>
        <v>2.0463093398197034</v>
      </c>
    </row>
    <row r="25" spans="2:17" ht="15" x14ac:dyDescent="0.25">
      <c r="B25" s="76" t="s">
        <v>61</v>
      </c>
      <c r="C25" s="90">
        <v>3441986.9508000002</v>
      </c>
      <c r="D25" s="90">
        <f t="shared" si="16"/>
        <v>344.19869507999999</v>
      </c>
      <c r="E25" s="64">
        <f t="shared" si="9"/>
        <v>3.4419869508000001</v>
      </c>
      <c r="F25" s="64">
        <v>2867.0257000000001</v>
      </c>
      <c r="G25" s="64">
        <v>67.599999999999994</v>
      </c>
      <c r="H25" s="65">
        <v>47</v>
      </c>
      <c r="I25" s="65">
        <f t="shared" si="10"/>
        <v>20.599999999999994</v>
      </c>
      <c r="J25" s="65">
        <f t="shared" si="11"/>
        <v>1.3217366686924044</v>
      </c>
      <c r="K25" s="65">
        <f t="shared" si="12"/>
        <v>79.304200121544255</v>
      </c>
      <c r="L25" s="64">
        <f t="shared" si="13"/>
        <v>1.1301782649760972</v>
      </c>
      <c r="M25" s="86">
        <f t="shared" si="17"/>
        <v>0.46093698009545103</v>
      </c>
      <c r="N25" s="65">
        <f t="shared" si="14"/>
        <v>1.9826050030386067</v>
      </c>
      <c r="O25" s="67">
        <v>3</v>
      </c>
      <c r="P25" s="64">
        <f t="shared" si="15"/>
        <v>3.9652100060772133</v>
      </c>
      <c r="Q25" s="3"/>
    </row>
    <row r="26" spans="2:17" ht="15" x14ac:dyDescent="0.25">
      <c r="B26" s="77" t="s">
        <v>62</v>
      </c>
      <c r="C26" s="92">
        <v>415682.93449999997</v>
      </c>
      <c r="D26" s="92">
        <f t="shared" si="16"/>
        <v>41.568293449999999</v>
      </c>
      <c r="E26" s="78">
        <f t="shared" si="9"/>
        <v>0.41568293449999999</v>
      </c>
      <c r="F26" s="78">
        <v>1072.0782999999999</v>
      </c>
      <c r="G26" s="78">
        <v>61</v>
      </c>
      <c r="H26" s="79">
        <v>46</v>
      </c>
      <c r="I26" s="79">
        <f t="shared" si="10"/>
        <v>15</v>
      </c>
      <c r="J26" s="79">
        <f t="shared" si="11"/>
        <v>0.49539751385190017</v>
      </c>
      <c r="K26" s="79">
        <f t="shared" si="12"/>
        <v>29.72385083111401</v>
      </c>
      <c r="L26" s="78">
        <f t="shared" si="13"/>
        <v>0.47686320051892428</v>
      </c>
      <c r="M26" s="87">
        <f t="shared" si="17"/>
        <v>0.49046844480136692</v>
      </c>
      <c r="N26" s="79">
        <f t="shared" si="14"/>
        <v>0.74309627077785023</v>
      </c>
      <c r="O26" s="80">
        <v>1</v>
      </c>
      <c r="P26" s="78">
        <f t="shared" si="15"/>
        <v>1.4861925415557005</v>
      </c>
      <c r="Q26" s="3"/>
    </row>
    <row r="27" spans="2:17" ht="14.25" customHeight="1" x14ac:dyDescent="0.25">
      <c r="O27" s="59"/>
    </row>
    <row r="28" spans="2:17" ht="15" x14ac:dyDescent="0.25">
      <c r="B28" s="129" t="s">
        <v>7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1"/>
    </row>
    <row r="29" spans="2:17" ht="15" customHeight="1" x14ac:dyDescent="0.25">
      <c r="B29" s="123" t="s">
        <v>1</v>
      </c>
      <c r="C29" s="129" t="s">
        <v>2</v>
      </c>
      <c r="D29" s="130"/>
      <c r="E29" s="131"/>
      <c r="F29" s="123" t="s">
        <v>3</v>
      </c>
      <c r="G29" s="129" t="s">
        <v>10</v>
      </c>
      <c r="H29" s="123" t="s">
        <v>11</v>
      </c>
      <c r="I29" s="131" t="s">
        <v>12</v>
      </c>
      <c r="J29" s="125" t="s">
        <v>64</v>
      </c>
      <c r="K29" s="126"/>
      <c r="L29" s="123" t="s">
        <v>15</v>
      </c>
      <c r="M29" s="123" t="s">
        <v>65</v>
      </c>
      <c r="N29" s="132" t="s">
        <v>34</v>
      </c>
      <c r="O29" s="133"/>
      <c r="P29" s="134"/>
    </row>
    <row r="30" spans="2:17" ht="15" customHeight="1" x14ac:dyDescent="0.25">
      <c r="B30" s="135"/>
      <c r="C30" s="136"/>
      <c r="D30" s="137"/>
      <c r="E30" s="138"/>
      <c r="F30" s="124"/>
      <c r="G30" s="136"/>
      <c r="H30" s="124"/>
      <c r="I30" s="138"/>
      <c r="J30" s="127"/>
      <c r="K30" s="128"/>
      <c r="L30" s="124"/>
      <c r="M30" s="124"/>
      <c r="N30" s="62" t="s">
        <v>43</v>
      </c>
      <c r="O30" s="69" t="s">
        <v>32</v>
      </c>
      <c r="P30" s="66" t="s">
        <v>44</v>
      </c>
    </row>
    <row r="31" spans="2:17" x14ac:dyDescent="0.25">
      <c r="B31" s="124"/>
      <c r="C31" s="74" t="s">
        <v>4</v>
      </c>
      <c r="D31" s="74" t="s">
        <v>67</v>
      </c>
      <c r="E31" s="74" t="s">
        <v>16</v>
      </c>
      <c r="F31" s="121" t="s">
        <v>5</v>
      </c>
      <c r="G31" s="121" t="s">
        <v>5</v>
      </c>
      <c r="H31" s="120" t="s">
        <v>5</v>
      </c>
      <c r="I31" s="120" t="s">
        <v>5</v>
      </c>
      <c r="J31" s="122" t="s">
        <v>13</v>
      </c>
      <c r="K31" s="73" t="s">
        <v>14</v>
      </c>
      <c r="L31" s="122" t="s">
        <v>13</v>
      </c>
      <c r="M31" s="122" t="s">
        <v>66</v>
      </c>
      <c r="N31" s="120" t="s">
        <v>13</v>
      </c>
      <c r="O31" s="70" t="s">
        <v>13</v>
      </c>
      <c r="P31" s="74" t="s">
        <v>13</v>
      </c>
    </row>
    <row r="32" spans="2:17" ht="14.25" customHeight="1" x14ac:dyDescent="0.25">
      <c r="B32" s="81" t="s">
        <v>56</v>
      </c>
      <c r="C32" s="89">
        <v>5108656.6667999998</v>
      </c>
      <c r="D32" s="89">
        <f>+E32*100</f>
        <v>510.86566668</v>
      </c>
      <c r="E32" s="82">
        <f t="shared" ref="E32" si="18">+C32/1000^2</f>
        <v>5.1086566668</v>
      </c>
      <c r="F32" s="82">
        <v>2885.7321000000002</v>
      </c>
      <c r="G32" s="82">
        <v>61</v>
      </c>
      <c r="H32" s="83">
        <v>35.5</v>
      </c>
      <c r="I32" s="83">
        <f t="shared" ref="I32" si="19">+G32-H32</f>
        <v>25.5</v>
      </c>
      <c r="J32" s="83">
        <f t="shared" ref="J32" si="20">(1.54*(F32/1609.34)^0.875*(((G32-H32)/F32)*1609.344/0.3048)^(-0.181))</f>
        <v>1.2804237620845418</v>
      </c>
      <c r="K32" s="83">
        <f t="shared" ref="K32" si="21">J32*60</f>
        <v>76.825425725072506</v>
      </c>
      <c r="L32" s="82">
        <f t="shared" ref="L32" si="22">(16.4*(F32/1609.34)^0.342*(((G32-H32)/F32)*1609.344/0.3048)^(-0.79))</f>
        <v>0.96190583885373171</v>
      </c>
      <c r="M32" s="88">
        <f>+L32/(J32+L32)</f>
        <v>0.42897611414987108</v>
      </c>
      <c r="N32" s="83">
        <f t="shared" ref="N32" si="23">1.5*J32</f>
        <v>1.9206356431268126</v>
      </c>
      <c r="O32" s="84">
        <v>3</v>
      </c>
      <c r="P32" s="82">
        <f t="shared" ref="P32:P38" si="24">3*J32</f>
        <v>3.8412712862536251</v>
      </c>
      <c r="Q32" s="3"/>
    </row>
    <row r="33" spans="2:17" ht="14.25" customHeight="1" x14ac:dyDescent="0.25">
      <c r="B33" s="76" t="s">
        <v>57</v>
      </c>
      <c r="C33" s="90">
        <v>345985.96419999999</v>
      </c>
      <c r="D33" s="90">
        <f t="shared" ref="D33:D38" si="25">+E33*100</f>
        <v>34.59859642</v>
      </c>
      <c r="E33" s="64">
        <f t="shared" ref="E33:E38" si="26">+C33/1000^2</f>
        <v>0.3459859642</v>
      </c>
      <c r="F33" s="64">
        <v>890.68830000000003</v>
      </c>
      <c r="G33" s="64">
        <v>61</v>
      </c>
      <c r="H33" s="65">
        <v>50.5</v>
      </c>
      <c r="I33" s="65">
        <f t="shared" ref="I33:I38" si="27">+G33-H33</f>
        <v>10.5</v>
      </c>
      <c r="J33" s="65">
        <f>(1.54*(F33/1609.34)^0.875*(((G33-H33)/F33)*1609.344/0.3048)^(-0.181))</f>
        <v>0.4344924927692998</v>
      </c>
      <c r="K33" s="65">
        <f t="shared" ref="K33:K38" si="28">J33*60</f>
        <v>26.069549566157988</v>
      </c>
      <c r="L33" s="64">
        <f>(16.4*(F33/1609.34)^0.342*(((G33-H33)/F33)*1609.344/0.3048)^(-0.79))</f>
        <v>0.51243584317014568</v>
      </c>
      <c r="M33" s="86">
        <f t="shared" ref="M33:M38" si="29">+L33/(J33+L33)</f>
        <v>0.54115588658750957</v>
      </c>
      <c r="N33" s="65">
        <f t="shared" ref="N33:N38" si="30">1.5*J33</f>
        <v>0.65173873915394975</v>
      </c>
      <c r="O33" s="67">
        <v>1</v>
      </c>
      <c r="P33" s="64">
        <f t="shared" si="24"/>
        <v>1.3034774783078995</v>
      </c>
    </row>
    <row r="34" spans="2:17" ht="14.25" customHeight="1" x14ac:dyDescent="0.25">
      <c r="B34" s="76" t="s">
        <v>58</v>
      </c>
      <c r="C34" s="90">
        <v>280676.03110000002</v>
      </c>
      <c r="D34" s="90">
        <f t="shared" si="25"/>
        <v>28.06760311</v>
      </c>
      <c r="E34" s="64">
        <f t="shared" si="26"/>
        <v>0.2806760311</v>
      </c>
      <c r="F34" s="64">
        <v>696.14449999999999</v>
      </c>
      <c r="G34" s="64">
        <v>61.5</v>
      </c>
      <c r="H34" s="65">
        <v>53.5</v>
      </c>
      <c r="I34" s="65">
        <f t="shared" si="27"/>
        <v>8</v>
      </c>
      <c r="J34" s="65">
        <f t="shared" ref="J34" si="31">(1.54*(F34/1609.34)^0.875*(((G34-H34)/F34)*1609.344/0.3048)^(-0.181))</f>
        <v>0.35183450211148692</v>
      </c>
      <c r="K34" s="65">
        <f t="shared" si="28"/>
        <v>21.110070126689216</v>
      </c>
      <c r="L34" s="64">
        <f t="shared" ref="L34" si="32">(16.4*(F34/1609.34)^0.342*(((G34-H34)/F34)*1609.344/0.3048)^(-0.79))</f>
        <v>0.48060039845745856</v>
      </c>
      <c r="M34" s="86">
        <f t="shared" si="29"/>
        <v>0.5773429227066067</v>
      </c>
      <c r="N34" s="65">
        <f t="shared" si="30"/>
        <v>0.52775175316723044</v>
      </c>
      <c r="O34" s="67">
        <v>1</v>
      </c>
      <c r="P34" s="64">
        <f t="shared" si="24"/>
        <v>1.0555035063344609</v>
      </c>
    </row>
    <row r="35" spans="2:17" ht="14.25" customHeight="1" x14ac:dyDescent="0.25">
      <c r="B35" s="76" t="s">
        <v>59</v>
      </c>
      <c r="C35" s="90">
        <v>32811.036599999999</v>
      </c>
      <c r="D35" s="90">
        <f t="shared" si="25"/>
        <v>3.2811036600000003</v>
      </c>
      <c r="E35" s="64">
        <f t="shared" si="26"/>
        <v>3.2811036600000003E-2</v>
      </c>
      <c r="F35" s="64">
        <v>348.22539999999998</v>
      </c>
      <c r="G35" s="64">
        <v>60</v>
      </c>
      <c r="H35" s="65">
        <v>54.5</v>
      </c>
      <c r="I35" s="65">
        <f t="shared" si="27"/>
        <v>5.5</v>
      </c>
      <c r="J35" s="65">
        <f t="shared" ref="J35:J38" si="33">(1.54*(F35/1609.34)^0.875*(((G35-H35)/F35)*1609.344/0.3048)^(-0.181))</f>
        <v>0.18117828104434208</v>
      </c>
      <c r="K35" s="65">
        <f t="shared" si="28"/>
        <v>10.870696862660525</v>
      </c>
      <c r="L35" s="64">
        <f t="shared" ref="L35:L38" si="34">(16.4*(F35/1609.34)^0.342*(((G35-H35)/F35)*1609.344/0.3048)^(-0.79))</f>
        <v>0.29497757416953685</v>
      </c>
      <c r="M35" s="86">
        <f t="shared" si="29"/>
        <v>0.61949794576618045</v>
      </c>
      <c r="N35" s="65">
        <f t="shared" si="30"/>
        <v>0.27176742156651312</v>
      </c>
      <c r="O35" s="67">
        <v>0.5</v>
      </c>
      <c r="P35" s="64">
        <f t="shared" si="24"/>
        <v>0.54353484313302625</v>
      </c>
    </row>
    <row r="36" spans="2:17" ht="14.25" customHeight="1" x14ac:dyDescent="0.25">
      <c r="B36" s="75" t="s">
        <v>60</v>
      </c>
      <c r="C36" s="91">
        <v>4672585.9815999996</v>
      </c>
      <c r="D36" s="91">
        <f t="shared" si="25"/>
        <v>467.25859815999991</v>
      </c>
      <c r="E36" s="71">
        <f t="shared" si="26"/>
        <v>4.6725859815999993</v>
      </c>
      <c r="F36" s="71">
        <v>3333.6167999999998</v>
      </c>
      <c r="G36" s="71">
        <v>67.599999999999994</v>
      </c>
      <c r="H36" s="72">
        <v>46.2</v>
      </c>
      <c r="I36" s="72">
        <f t="shared" si="27"/>
        <v>21.399999999999991</v>
      </c>
      <c r="J36" s="72">
        <f t="shared" si="33"/>
        <v>1.5392218218304377</v>
      </c>
      <c r="K36" s="72">
        <f t="shared" si="28"/>
        <v>92.353309309826258</v>
      </c>
      <c r="L36" s="71">
        <f t="shared" si="34"/>
        <v>1.3007779430269841</v>
      </c>
      <c r="M36" s="85">
        <f t="shared" si="29"/>
        <v>0.45802044039686318</v>
      </c>
      <c r="N36" s="72">
        <f t="shared" si="30"/>
        <v>2.3088327327456564</v>
      </c>
      <c r="O36" s="68">
        <v>3</v>
      </c>
      <c r="P36" s="71">
        <f t="shared" si="24"/>
        <v>4.6176654654913127</v>
      </c>
      <c r="Q36" s="3"/>
    </row>
    <row r="37" spans="2:17" ht="14.25" customHeight="1" x14ac:dyDescent="0.25">
      <c r="B37" s="76" t="s">
        <v>61</v>
      </c>
      <c r="C37" s="90">
        <v>598679.93110000005</v>
      </c>
      <c r="D37" s="90">
        <f t="shared" si="25"/>
        <v>59.867993110000008</v>
      </c>
      <c r="E37" s="64">
        <f t="shared" si="26"/>
        <v>0.59867993110000006</v>
      </c>
      <c r="F37" s="64">
        <v>1395.8345999999999</v>
      </c>
      <c r="G37" s="64">
        <v>61</v>
      </c>
      <c r="H37" s="65">
        <v>45</v>
      </c>
      <c r="I37" s="65">
        <f t="shared" si="27"/>
        <v>16</v>
      </c>
      <c r="J37" s="65">
        <f t="shared" si="33"/>
        <v>0.64700270310991737</v>
      </c>
      <c r="K37" s="65">
        <f t="shared" si="28"/>
        <v>38.820162186595041</v>
      </c>
      <c r="L37" s="64">
        <f t="shared" si="34"/>
        <v>0.6109233934737065</v>
      </c>
      <c r="M37" s="86">
        <f t="shared" si="29"/>
        <v>0.4856592093390073</v>
      </c>
      <c r="N37" s="65">
        <f t="shared" si="30"/>
        <v>0.97050405466487599</v>
      </c>
      <c r="O37" s="67">
        <v>1</v>
      </c>
      <c r="P37" s="64">
        <f t="shared" si="24"/>
        <v>1.941008109329752</v>
      </c>
      <c r="Q37" s="3"/>
    </row>
    <row r="38" spans="2:17" ht="14.25" customHeight="1" x14ac:dyDescent="0.25">
      <c r="B38" s="77" t="s">
        <v>62</v>
      </c>
      <c r="C38" s="92">
        <v>1098819.0604000001</v>
      </c>
      <c r="D38" s="92">
        <f t="shared" si="25"/>
        <v>109.88190604</v>
      </c>
      <c r="E38" s="78">
        <f t="shared" si="26"/>
        <v>1.0988190604000001</v>
      </c>
      <c r="F38" s="78">
        <v>1878.0154</v>
      </c>
      <c r="G38" s="78">
        <v>66.5</v>
      </c>
      <c r="H38" s="79">
        <v>47</v>
      </c>
      <c r="I38" s="79">
        <f t="shared" si="27"/>
        <v>19.5</v>
      </c>
      <c r="J38" s="79">
        <f t="shared" si="33"/>
        <v>0.85395932984650313</v>
      </c>
      <c r="K38" s="79">
        <f t="shared" si="28"/>
        <v>51.237559790790186</v>
      </c>
      <c r="L38" s="78">
        <f t="shared" si="34"/>
        <v>0.73112156444424981</v>
      </c>
      <c r="M38" s="87">
        <f t="shared" si="29"/>
        <v>0.46125189387977028</v>
      </c>
      <c r="N38" s="79">
        <f t="shared" si="30"/>
        <v>1.2809389947697547</v>
      </c>
      <c r="O38" s="80">
        <v>2</v>
      </c>
      <c r="P38" s="78">
        <f t="shared" si="24"/>
        <v>2.5618779895395094</v>
      </c>
      <c r="Q38" s="3"/>
    </row>
    <row r="39" spans="2:17" x14ac:dyDescent="0.25">
      <c r="O39" s="59"/>
    </row>
    <row r="40" spans="2:17" x14ac:dyDescent="0.25">
      <c r="O40" s="59"/>
    </row>
    <row r="41" spans="2:17" x14ac:dyDescent="0.25">
      <c r="O41" s="59"/>
    </row>
    <row r="42" spans="2:17" x14ac:dyDescent="0.25">
      <c r="O42" s="59"/>
    </row>
    <row r="45" spans="2:17" x14ac:dyDescent="0.25">
      <c r="O45" s="59"/>
    </row>
    <row r="47" spans="2:17" x14ac:dyDescent="0.25">
      <c r="O47" s="59"/>
    </row>
    <row r="48" spans="2:17" x14ac:dyDescent="0.25">
      <c r="O48" s="59"/>
    </row>
    <row r="49" spans="15:15" x14ac:dyDescent="0.25">
      <c r="O49" s="59"/>
    </row>
  </sheetData>
  <mergeCells count="33">
    <mergeCell ref="B17:B19"/>
    <mergeCell ref="J17:K18"/>
    <mergeCell ref="B29:B31"/>
    <mergeCell ref="J29:K30"/>
    <mergeCell ref="B28:P28"/>
    <mergeCell ref="N29:P29"/>
    <mergeCell ref="C29:E30"/>
    <mergeCell ref="F29:F30"/>
    <mergeCell ref="G29:G30"/>
    <mergeCell ref="H29:H30"/>
    <mergeCell ref="I29:I30"/>
    <mergeCell ref="J4:K5"/>
    <mergeCell ref="B3:P3"/>
    <mergeCell ref="N4:P4"/>
    <mergeCell ref="N17:P17"/>
    <mergeCell ref="B4:B6"/>
    <mergeCell ref="C4:E5"/>
    <mergeCell ref="F4:F5"/>
    <mergeCell ref="G4:G5"/>
    <mergeCell ref="H4:H5"/>
    <mergeCell ref="I4:I5"/>
    <mergeCell ref="C17:E18"/>
    <mergeCell ref="F17:F18"/>
    <mergeCell ref="G17:G18"/>
    <mergeCell ref="H17:H18"/>
    <mergeCell ref="I17:I18"/>
    <mergeCell ref="B16:P16"/>
    <mergeCell ref="L4:L5"/>
    <mergeCell ref="L17:L18"/>
    <mergeCell ref="L29:L30"/>
    <mergeCell ref="M4:M5"/>
    <mergeCell ref="M17:M18"/>
    <mergeCell ref="M29:M30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"/>
  <sheetViews>
    <sheetView showGridLines="0" topLeftCell="A13" zoomScale="90" zoomScaleNormal="90" workbookViewId="0">
      <selection activeCell="I4" sqref="I4:V5"/>
    </sheetView>
  </sheetViews>
  <sheetFormatPr baseColWidth="10" defaultRowHeight="14.25" x14ac:dyDescent="0.2"/>
  <cols>
    <col min="1" max="1" width="11.42578125" style="6"/>
    <col min="2" max="2" width="11.7109375" style="6" customWidth="1"/>
    <col min="3" max="4" width="8.7109375" style="6" customWidth="1"/>
    <col min="5" max="5" width="8.7109375" style="16" customWidth="1"/>
    <col min="6" max="6" width="8.7109375" style="6" customWidth="1"/>
    <col min="7" max="14" width="5.28515625" style="6" customWidth="1"/>
    <col min="15" max="15" width="11.7109375" style="6" customWidth="1"/>
    <col min="16" max="16384" width="11.42578125" style="6"/>
  </cols>
  <sheetData>
    <row r="1" spans="1:16" ht="15" x14ac:dyDescent="0.25">
      <c r="B1" s="5" t="s">
        <v>41</v>
      </c>
    </row>
    <row r="3" spans="1:16" ht="15" x14ac:dyDescent="0.25">
      <c r="B3" s="11" t="s">
        <v>17</v>
      </c>
      <c r="F3" s="10" t="s">
        <v>8</v>
      </c>
      <c r="G3" s="10"/>
    </row>
    <row r="4" spans="1:16" x14ac:dyDescent="0.2">
      <c r="B4" s="14" t="s">
        <v>23</v>
      </c>
      <c r="C4" s="12"/>
      <c r="D4" s="12"/>
      <c r="E4" s="63"/>
      <c r="F4" s="2"/>
      <c r="G4" s="2"/>
      <c r="J4" s="9"/>
      <c r="K4" s="9"/>
    </row>
    <row r="5" spans="1:16" x14ac:dyDescent="0.2">
      <c r="B5" s="13" t="s">
        <v>20</v>
      </c>
      <c r="C5" s="12"/>
      <c r="D5" s="12"/>
      <c r="E5" s="63"/>
      <c r="F5" s="2"/>
      <c r="G5" s="2"/>
      <c r="I5" s="9"/>
      <c r="J5" s="9"/>
      <c r="K5" s="9"/>
    </row>
    <row r="6" spans="1:16" x14ac:dyDescent="0.2">
      <c r="B6" s="6" t="s">
        <v>21</v>
      </c>
      <c r="C6" s="12"/>
      <c r="D6" s="12"/>
    </row>
    <row r="7" spans="1:16" ht="15" thickBot="1" x14ac:dyDescent="0.25"/>
    <row r="8" spans="1:16" ht="15.75" thickBot="1" x14ac:dyDescent="0.25">
      <c r="B8" s="139" t="s">
        <v>0</v>
      </c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1"/>
    </row>
    <row r="9" spans="1:16" ht="15" customHeight="1" x14ac:dyDescent="0.25">
      <c r="B9" s="149" t="s">
        <v>1</v>
      </c>
      <c r="C9" s="158" t="s">
        <v>45</v>
      </c>
      <c r="D9" s="159"/>
      <c r="E9" s="145" t="s">
        <v>46</v>
      </c>
      <c r="F9" s="147" t="s">
        <v>47</v>
      </c>
      <c r="G9" s="155" t="s">
        <v>50</v>
      </c>
      <c r="H9" s="156"/>
      <c r="I9" s="156"/>
      <c r="J9" s="156"/>
      <c r="K9" s="156"/>
      <c r="L9" s="156"/>
      <c r="M9" s="156"/>
      <c r="N9" s="157"/>
      <c r="O9" s="142" t="s">
        <v>22</v>
      </c>
    </row>
    <row r="10" spans="1:16" ht="14.25" customHeight="1" x14ac:dyDescent="0.2">
      <c r="B10" s="150"/>
      <c r="C10" s="160"/>
      <c r="D10" s="161"/>
      <c r="E10" s="146"/>
      <c r="F10" s="148"/>
      <c r="G10" s="152" t="s">
        <v>19</v>
      </c>
      <c r="H10" s="153"/>
      <c r="I10" s="153"/>
      <c r="J10" s="154"/>
      <c r="K10" s="152" t="s">
        <v>18</v>
      </c>
      <c r="L10" s="153"/>
      <c r="M10" s="153"/>
      <c r="N10" s="154"/>
      <c r="O10" s="143"/>
    </row>
    <row r="11" spans="1:16" ht="15" customHeight="1" thickBot="1" x14ac:dyDescent="0.25">
      <c r="B11" s="151">
        <v>0</v>
      </c>
      <c r="C11" s="101" t="s">
        <v>16</v>
      </c>
      <c r="D11" s="101" t="s">
        <v>67</v>
      </c>
      <c r="E11" s="102" t="s">
        <v>36</v>
      </c>
      <c r="F11" s="103" t="s">
        <v>36</v>
      </c>
      <c r="G11" s="104" t="s">
        <v>48</v>
      </c>
      <c r="H11" s="105" t="s">
        <v>49</v>
      </c>
      <c r="I11" s="104" t="s">
        <v>48</v>
      </c>
      <c r="J11" s="105" t="s">
        <v>49</v>
      </c>
      <c r="K11" s="104" t="s">
        <v>48</v>
      </c>
      <c r="L11" s="105" t="s">
        <v>49</v>
      </c>
      <c r="M11" s="104" t="s">
        <v>48</v>
      </c>
      <c r="N11" s="105" t="s">
        <v>49</v>
      </c>
      <c r="O11" s="144"/>
    </row>
    <row r="12" spans="1:16" ht="15" x14ac:dyDescent="0.2">
      <c r="B12" s="93" t="str">
        <f>+'Datos cuencas'!B7</f>
        <v>C1</v>
      </c>
      <c r="C12" s="94">
        <f>+'Datos cuencas'!E7</f>
        <v>5.9160678037999999</v>
      </c>
      <c r="D12" s="94">
        <f>+C12*100</f>
        <v>591.60678038000003</v>
      </c>
      <c r="E12" s="117">
        <f>2.9/C12</f>
        <v>0.49019046031508906</v>
      </c>
      <c r="F12" s="117">
        <f>1-E12</f>
        <v>0.50980953968491094</v>
      </c>
      <c r="G12" s="106">
        <v>0.7</v>
      </c>
      <c r="H12" s="107">
        <v>90</v>
      </c>
      <c r="I12" s="106">
        <v>0.3</v>
      </c>
      <c r="J12" s="107">
        <v>70</v>
      </c>
      <c r="K12" s="106">
        <v>0.7</v>
      </c>
      <c r="L12" s="107">
        <v>70</v>
      </c>
      <c r="M12" s="106">
        <v>0.3</v>
      </c>
      <c r="N12" s="107">
        <v>81</v>
      </c>
      <c r="O12" s="95">
        <f>+E12*G12*H12+E12*I12*J12+F12*K12*L12+F12*M12*N12</f>
        <v>78.545037925371446</v>
      </c>
      <c r="P12" s="9"/>
    </row>
    <row r="13" spans="1:16" ht="15" x14ac:dyDescent="0.2">
      <c r="B13" s="96" t="str">
        <f>+'Datos cuencas'!B8</f>
        <v>C2</v>
      </c>
      <c r="C13" s="64">
        <f>+'Datos cuencas'!E8</f>
        <v>0.56995234350000001</v>
      </c>
      <c r="D13" s="64">
        <f t="shared" ref="D13:D19" si="0">+C13*100</f>
        <v>56.995234350000004</v>
      </c>
      <c r="E13" s="118">
        <v>0</v>
      </c>
      <c r="F13" s="118">
        <f t="shared" ref="F13:F19" si="1">1-E13</f>
        <v>1</v>
      </c>
      <c r="G13" s="108">
        <v>0.7</v>
      </c>
      <c r="H13" s="109">
        <v>90</v>
      </c>
      <c r="I13" s="108">
        <v>0.3</v>
      </c>
      <c r="J13" s="109">
        <v>70</v>
      </c>
      <c r="K13" s="108">
        <v>0.7</v>
      </c>
      <c r="L13" s="109">
        <v>70</v>
      </c>
      <c r="M13" s="108">
        <v>0.3</v>
      </c>
      <c r="N13" s="109">
        <v>81</v>
      </c>
      <c r="O13" s="97">
        <f t="shared" ref="O13:O19" si="2">+E13*G13*H13+E13*I13*J13+F13*K13*L13+F13*M13*N13</f>
        <v>73.3</v>
      </c>
    </row>
    <row r="14" spans="1:16" ht="15" x14ac:dyDescent="0.2">
      <c r="A14" s="9"/>
      <c r="B14" s="96" t="str">
        <f>+'Datos cuencas'!B9</f>
        <v>C3</v>
      </c>
      <c r="C14" s="64">
        <f>+'Datos cuencas'!E9</f>
        <v>0.25729449459999998</v>
      </c>
      <c r="D14" s="64">
        <f t="shared" si="0"/>
        <v>25.729449459999998</v>
      </c>
      <c r="E14" s="118">
        <v>0</v>
      </c>
      <c r="F14" s="118">
        <f t="shared" si="1"/>
        <v>1</v>
      </c>
      <c r="G14" s="108">
        <v>0.7</v>
      </c>
      <c r="H14" s="109">
        <v>90</v>
      </c>
      <c r="I14" s="108">
        <v>0.3</v>
      </c>
      <c r="J14" s="109">
        <v>70</v>
      </c>
      <c r="K14" s="108">
        <v>0.7</v>
      </c>
      <c r="L14" s="109">
        <v>70</v>
      </c>
      <c r="M14" s="108">
        <v>0.3</v>
      </c>
      <c r="N14" s="109">
        <v>81</v>
      </c>
      <c r="O14" s="97">
        <f t="shared" si="2"/>
        <v>73.3</v>
      </c>
    </row>
    <row r="15" spans="1:16" ht="15" x14ac:dyDescent="0.2">
      <c r="B15" s="96" t="str">
        <f>+'Datos cuencas'!B10</f>
        <v>C4</v>
      </c>
      <c r="C15" s="64">
        <f>+'Datos cuencas'!E10</f>
        <v>0.224232495</v>
      </c>
      <c r="D15" s="64">
        <f t="shared" si="0"/>
        <v>22.423249500000001</v>
      </c>
      <c r="E15" s="118">
        <v>0</v>
      </c>
      <c r="F15" s="118">
        <f t="shared" si="1"/>
        <v>1</v>
      </c>
      <c r="G15" s="108">
        <v>0.7</v>
      </c>
      <c r="H15" s="109">
        <v>90</v>
      </c>
      <c r="I15" s="108">
        <v>0.3</v>
      </c>
      <c r="J15" s="109">
        <v>70</v>
      </c>
      <c r="K15" s="108">
        <v>0.7</v>
      </c>
      <c r="L15" s="109">
        <v>70</v>
      </c>
      <c r="M15" s="108">
        <v>0.3</v>
      </c>
      <c r="N15" s="109">
        <v>81</v>
      </c>
      <c r="O15" s="97">
        <f t="shared" si="2"/>
        <v>73.3</v>
      </c>
    </row>
    <row r="16" spans="1:16" ht="15" x14ac:dyDescent="0.2">
      <c r="B16" s="96" t="str">
        <f>+'Datos cuencas'!B11</f>
        <v>C5</v>
      </c>
      <c r="C16" s="64">
        <f>+'Datos cuencas'!E11</f>
        <v>0.1754044142</v>
      </c>
      <c r="D16" s="64">
        <f t="shared" si="0"/>
        <v>17.540441420000001</v>
      </c>
      <c r="E16" s="118">
        <v>0</v>
      </c>
      <c r="F16" s="118">
        <f t="shared" si="1"/>
        <v>1</v>
      </c>
      <c r="G16" s="108">
        <v>0.7</v>
      </c>
      <c r="H16" s="109">
        <v>90</v>
      </c>
      <c r="I16" s="108">
        <v>0.3</v>
      </c>
      <c r="J16" s="109">
        <v>70</v>
      </c>
      <c r="K16" s="108">
        <v>0.7</v>
      </c>
      <c r="L16" s="109">
        <v>70</v>
      </c>
      <c r="M16" s="108">
        <v>0.3</v>
      </c>
      <c r="N16" s="109">
        <v>81</v>
      </c>
      <c r="O16" s="97">
        <f t="shared" si="2"/>
        <v>73.3</v>
      </c>
    </row>
    <row r="17" spans="2:16" ht="15" x14ac:dyDescent="0.2">
      <c r="B17" s="96" t="str">
        <f>+'Datos cuencas'!B12</f>
        <v>C6</v>
      </c>
      <c r="C17" s="64">
        <f>+'Datos cuencas'!E12</f>
        <v>5.83140859E-2</v>
      </c>
      <c r="D17" s="64">
        <f t="shared" si="0"/>
        <v>5.8314085899999997</v>
      </c>
      <c r="E17" s="118">
        <v>0</v>
      </c>
      <c r="F17" s="118">
        <f t="shared" si="1"/>
        <v>1</v>
      </c>
      <c r="G17" s="108">
        <v>0.7</v>
      </c>
      <c r="H17" s="109">
        <v>90</v>
      </c>
      <c r="I17" s="108">
        <v>0.3</v>
      </c>
      <c r="J17" s="109">
        <v>70</v>
      </c>
      <c r="K17" s="108">
        <v>0.7</v>
      </c>
      <c r="L17" s="109">
        <v>70</v>
      </c>
      <c r="M17" s="108">
        <v>0.3</v>
      </c>
      <c r="N17" s="109">
        <v>81</v>
      </c>
      <c r="O17" s="97">
        <f t="shared" si="2"/>
        <v>73.3</v>
      </c>
    </row>
    <row r="18" spans="2:16" ht="15" x14ac:dyDescent="0.2">
      <c r="B18" s="96" t="str">
        <f>+'Datos cuencas'!B13</f>
        <v>C7</v>
      </c>
      <c r="C18" s="64">
        <f>+'Datos cuencas'!E13</f>
        <v>2.8885304238999998</v>
      </c>
      <c r="D18" s="64">
        <f t="shared" si="0"/>
        <v>288.85304238999998</v>
      </c>
      <c r="E18" s="118">
        <v>0</v>
      </c>
      <c r="F18" s="118">
        <f t="shared" si="1"/>
        <v>1</v>
      </c>
      <c r="G18" s="108">
        <v>0.7</v>
      </c>
      <c r="H18" s="109">
        <v>90</v>
      </c>
      <c r="I18" s="108">
        <v>0.3</v>
      </c>
      <c r="J18" s="109">
        <v>70</v>
      </c>
      <c r="K18" s="108">
        <v>0.7</v>
      </c>
      <c r="L18" s="109">
        <v>70</v>
      </c>
      <c r="M18" s="108">
        <v>0.3</v>
      </c>
      <c r="N18" s="109">
        <v>81</v>
      </c>
      <c r="O18" s="97">
        <f t="shared" si="2"/>
        <v>73.3</v>
      </c>
    </row>
    <row r="19" spans="2:16" ht="15.75" thickBot="1" x14ac:dyDescent="0.25">
      <c r="B19" s="98" t="str">
        <f>+'Datos cuencas'!B14</f>
        <v>C8</v>
      </c>
      <c r="C19" s="99">
        <f>+'Datos cuencas'!E14</f>
        <v>0.41568293449999999</v>
      </c>
      <c r="D19" s="99">
        <f t="shared" si="0"/>
        <v>41.568293449999999</v>
      </c>
      <c r="E19" s="119">
        <v>0</v>
      </c>
      <c r="F19" s="119">
        <f t="shared" si="1"/>
        <v>1</v>
      </c>
      <c r="G19" s="110">
        <v>0.7</v>
      </c>
      <c r="H19" s="111">
        <v>90</v>
      </c>
      <c r="I19" s="110">
        <v>0.3</v>
      </c>
      <c r="J19" s="111">
        <v>70</v>
      </c>
      <c r="K19" s="110">
        <v>0.7</v>
      </c>
      <c r="L19" s="111">
        <v>70</v>
      </c>
      <c r="M19" s="110">
        <v>0.3</v>
      </c>
      <c r="N19" s="111">
        <v>81</v>
      </c>
      <c r="O19" s="100">
        <f t="shared" si="2"/>
        <v>73.3</v>
      </c>
    </row>
    <row r="20" spans="2:16" ht="15" thickBot="1" x14ac:dyDescent="0.25"/>
    <row r="21" spans="2:16" ht="15.75" thickBot="1" x14ac:dyDescent="0.25">
      <c r="B21" s="139" t="s">
        <v>6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1"/>
    </row>
    <row r="22" spans="2:16" ht="15" customHeight="1" x14ac:dyDescent="0.25">
      <c r="B22" s="149" t="s">
        <v>1</v>
      </c>
      <c r="C22" s="158" t="s">
        <v>45</v>
      </c>
      <c r="D22" s="159"/>
      <c r="E22" s="145" t="s">
        <v>46</v>
      </c>
      <c r="F22" s="147" t="s">
        <v>47</v>
      </c>
      <c r="G22" s="155" t="s">
        <v>50</v>
      </c>
      <c r="H22" s="156"/>
      <c r="I22" s="156"/>
      <c r="J22" s="156"/>
      <c r="K22" s="156"/>
      <c r="L22" s="156"/>
      <c r="M22" s="156"/>
      <c r="N22" s="157"/>
      <c r="O22" s="142" t="s">
        <v>22</v>
      </c>
    </row>
    <row r="23" spans="2:16" ht="14.25" customHeight="1" x14ac:dyDescent="0.2">
      <c r="B23" s="150"/>
      <c r="C23" s="160"/>
      <c r="D23" s="161"/>
      <c r="E23" s="146"/>
      <c r="F23" s="148"/>
      <c r="G23" s="152" t="s">
        <v>19</v>
      </c>
      <c r="H23" s="153"/>
      <c r="I23" s="153"/>
      <c r="J23" s="154"/>
      <c r="K23" s="152" t="s">
        <v>18</v>
      </c>
      <c r="L23" s="153"/>
      <c r="M23" s="153"/>
      <c r="N23" s="154"/>
      <c r="O23" s="143"/>
    </row>
    <row r="24" spans="2:16" ht="15" customHeight="1" thickBot="1" x14ac:dyDescent="0.25">
      <c r="B24" s="151">
        <v>0</v>
      </c>
      <c r="C24" s="101" t="s">
        <v>16</v>
      </c>
      <c r="D24" s="101" t="s">
        <v>67</v>
      </c>
      <c r="E24" s="102" t="s">
        <v>16</v>
      </c>
      <c r="F24" s="103" t="s">
        <v>16</v>
      </c>
      <c r="G24" s="104" t="s">
        <v>48</v>
      </c>
      <c r="H24" s="105" t="s">
        <v>49</v>
      </c>
      <c r="I24" s="104" t="s">
        <v>48</v>
      </c>
      <c r="J24" s="105" t="s">
        <v>49</v>
      </c>
      <c r="K24" s="104" t="s">
        <v>48</v>
      </c>
      <c r="L24" s="105" t="s">
        <v>49</v>
      </c>
      <c r="M24" s="104" t="s">
        <v>48</v>
      </c>
      <c r="N24" s="105" t="s">
        <v>49</v>
      </c>
      <c r="O24" s="144"/>
    </row>
    <row r="25" spans="2:16" ht="15" x14ac:dyDescent="0.2">
      <c r="B25" s="93" t="str">
        <f>+'Datos cuencas'!B20</f>
        <v>C1</v>
      </c>
      <c r="C25" s="94">
        <f>+'Datos cuencas'!E20</f>
        <v>5.8978986962000004</v>
      </c>
      <c r="D25" s="94">
        <f>+C25*100</f>
        <v>589.78986961999999</v>
      </c>
      <c r="E25" s="117">
        <f>2.9/C25</f>
        <v>0.49170054444449202</v>
      </c>
      <c r="F25" s="117">
        <f>1-E25</f>
        <v>0.50829945555550804</v>
      </c>
      <c r="G25" s="106">
        <v>0.7</v>
      </c>
      <c r="H25" s="107">
        <v>90</v>
      </c>
      <c r="I25" s="106">
        <v>0.3</v>
      </c>
      <c r="J25" s="107">
        <v>70</v>
      </c>
      <c r="K25" s="106">
        <v>0.7</v>
      </c>
      <c r="L25" s="107">
        <v>70</v>
      </c>
      <c r="M25" s="106">
        <v>0.3</v>
      </c>
      <c r="N25" s="107">
        <v>81</v>
      </c>
      <c r="O25" s="95">
        <f>+E25*G25*H25+E25*I25*J25+F25*K25*L25+F25*M25*N25</f>
        <v>78.561195825556069</v>
      </c>
      <c r="P25" s="116"/>
    </row>
    <row r="26" spans="2:16" ht="15" x14ac:dyDescent="0.2">
      <c r="B26" s="96" t="str">
        <f>+'Datos cuencas'!B21</f>
        <v>C2</v>
      </c>
      <c r="C26" s="64">
        <f>+'Datos cuencas'!E21</f>
        <v>0.43002061790000001</v>
      </c>
      <c r="D26" s="64">
        <f t="shared" ref="D26:D31" si="3">+C26*100</f>
        <v>43.002061789999999</v>
      </c>
      <c r="E26" s="118">
        <v>0</v>
      </c>
      <c r="F26" s="118">
        <f t="shared" ref="F26:F31" si="4">1-E26</f>
        <v>1</v>
      </c>
      <c r="G26" s="108">
        <v>0.7</v>
      </c>
      <c r="H26" s="109">
        <v>90</v>
      </c>
      <c r="I26" s="108">
        <v>0.3</v>
      </c>
      <c r="J26" s="109">
        <v>70</v>
      </c>
      <c r="K26" s="108">
        <v>0.7</v>
      </c>
      <c r="L26" s="109">
        <v>70</v>
      </c>
      <c r="M26" s="108">
        <v>0.3</v>
      </c>
      <c r="N26" s="109">
        <v>81</v>
      </c>
      <c r="O26" s="97">
        <f t="shared" ref="O26:O31" si="5">+E26*G26*H26+E26*I26*J26+F26*K26*L26+F26*M26*N26</f>
        <v>73.3</v>
      </c>
    </row>
    <row r="27" spans="2:16" ht="15" x14ac:dyDescent="0.2">
      <c r="B27" s="96" t="str">
        <f>+'Datos cuencas'!B22</f>
        <v>C3</v>
      </c>
      <c r="C27" s="64">
        <f>+'Datos cuencas'!E22</f>
        <v>0.1582671528</v>
      </c>
      <c r="D27" s="64">
        <f t="shared" si="3"/>
        <v>15.82671528</v>
      </c>
      <c r="E27" s="118">
        <v>0</v>
      </c>
      <c r="F27" s="118">
        <f t="shared" si="4"/>
        <v>1</v>
      </c>
      <c r="G27" s="108">
        <v>0.7</v>
      </c>
      <c r="H27" s="109">
        <v>90</v>
      </c>
      <c r="I27" s="108">
        <v>0.3</v>
      </c>
      <c r="J27" s="109">
        <v>70</v>
      </c>
      <c r="K27" s="108">
        <v>0.7</v>
      </c>
      <c r="L27" s="109">
        <v>70</v>
      </c>
      <c r="M27" s="108">
        <v>0.3</v>
      </c>
      <c r="N27" s="109">
        <v>81</v>
      </c>
      <c r="O27" s="97">
        <f t="shared" si="5"/>
        <v>73.3</v>
      </c>
    </row>
    <row r="28" spans="2:16" ht="15" x14ac:dyDescent="0.2">
      <c r="B28" s="96" t="str">
        <f>+'Datos cuencas'!B23</f>
        <v>C4</v>
      </c>
      <c r="C28" s="64">
        <f>+'Datos cuencas'!E23</f>
        <v>3.4987995399999999E-2</v>
      </c>
      <c r="D28" s="64">
        <f t="shared" si="3"/>
        <v>3.4987995399999998</v>
      </c>
      <c r="E28" s="118">
        <v>0</v>
      </c>
      <c r="F28" s="118">
        <f t="shared" si="4"/>
        <v>1</v>
      </c>
      <c r="G28" s="108">
        <v>0.7</v>
      </c>
      <c r="H28" s="109">
        <v>90</v>
      </c>
      <c r="I28" s="108">
        <v>0.3</v>
      </c>
      <c r="J28" s="109">
        <v>70</v>
      </c>
      <c r="K28" s="108">
        <v>0.7</v>
      </c>
      <c r="L28" s="109">
        <v>70</v>
      </c>
      <c r="M28" s="108">
        <v>0.3</v>
      </c>
      <c r="N28" s="109">
        <v>81</v>
      </c>
      <c r="O28" s="97">
        <f t="shared" si="5"/>
        <v>73.3</v>
      </c>
    </row>
    <row r="29" spans="2:16" ht="15" x14ac:dyDescent="0.2">
      <c r="B29" s="96" t="str">
        <f>+'Datos cuencas'!B24</f>
        <v>C5</v>
      </c>
      <c r="C29" s="64">
        <f>+'Datos cuencas'!E24</f>
        <v>0.54881264969999999</v>
      </c>
      <c r="D29" s="64">
        <f t="shared" si="3"/>
        <v>54.881264969999997</v>
      </c>
      <c r="E29" s="118">
        <v>0</v>
      </c>
      <c r="F29" s="118">
        <f t="shared" si="4"/>
        <v>1</v>
      </c>
      <c r="G29" s="108">
        <v>0.7</v>
      </c>
      <c r="H29" s="109">
        <v>90</v>
      </c>
      <c r="I29" s="108">
        <v>0.3</v>
      </c>
      <c r="J29" s="109">
        <v>70</v>
      </c>
      <c r="K29" s="108">
        <v>0.7</v>
      </c>
      <c r="L29" s="109">
        <v>70</v>
      </c>
      <c r="M29" s="108">
        <v>0.3</v>
      </c>
      <c r="N29" s="109">
        <v>81</v>
      </c>
      <c r="O29" s="97">
        <f t="shared" si="5"/>
        <v>73.3</v>
      </c>
    </row>
    <row r="30" spans="2:16" ht="15" x14ac:dyDescent="0.2">
      <c r="B30" s="96" t="str">
        <f>+'Datos cuencas'!B25</f>
        <v>C6</v>
      </c>
      <c r="C30" s="64">
        <f>+'Datos cuencas'!E25</f>
        <v>3.4419869508000001</v>
      </c>
      <c r="D30" s="64">
        <f t="shared" si="3"/>
        <v>344.19869507999999</v>
      </c>
      <c r="E30" s="118">
        <v>0</v>
      </c>
      <c r="F30" s="118">
        <f t="shared" si="4"/>
        <v>1</v>
      </c>
      <c r="G30" s="108">
        <v>0.7</v>
      </c>
      <c r="H30" s="109">
        <v>90</v>
      </c>
      <c r="I30" s="108">
        <v>0.3</v>
      </c>
      <c r="J30" s="109">
        <v>70</v>
      </c>
      <c r="K30" s="108">
        <v>0.7</v>
      </c>
      <c r="L30" s="109">
        <v>70</v>
      </c>
      <c r="M30" s="108">
        <v>0.3</v>
      </c>
      <c r="N30" s="109">
        <v>81</v>
      </c>
      <c r="O30" s="97">
        <f t="shared" si="5"/>
        <v>73.3</v>
      </c>
    </row>
    <row r="31" spans="2:16" ht="15.75" thickBot="1" x14ac:dyDescent="0.25">
      <c r="B31" s="98" t="str">
        <f>+'Datos cuencas'!B26</f>
        <v>C7</v>
      </c>
      <c r="C31" s="99">
        <f>+'Datos cuencas'!E26</f>
        <v>0.41568293449999999</v>
      </c>
      <c r="D31" s="99">
        <f t="shared" si="3"/>
        <v>41.568293449999999</v>
      </c>
      <c r="E31" s="119">
        <v>0</v>
      </c>
      <c r="F31" s="119">
        <f t="shared" si="4"/>
        <v>1</v>
      </c>
      <c r="G31" s="110">
        <v>0.7</v>
      </c>
      <c r="H31" s="111">
        <v>90</v>
      </c>
      <c r="I31" s="110">
        <v>0.3</v>
      </c>
      <c r="J31" s="111">
        <v>70</v>
      </c>
      <c r="K31" s="110">
        <v>0.7</v>
      </c>
      <c r="L31" s="111">
        <v>70</v>
      </c>
      <c r="M31" s="110">
        <v>0.3</v>
      </c>
      <c r="N31" s="111">
        <v>81</v>
      </c>
      <c r="O31" s="100">
        <f t="shared" si="5"/>
        <v>73.3</v>
      </c>
    </row>
    <row r="32" spans="2:16" ht="15" thickBot="1" x14ac:dyDescent="0.25"/>
    <row r="33" spans="2:16" ht="15.75" thickBot="1" x14ac:dyDescent="0.25">
      <c r="B33" s="139" t="s">
        <v>7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1"/>
    </row>
    <row r="34" spans="2:16" ht="15" customHeight="1" x14ac:dyDescent="0.25">
      <c r="B34" s="149" t="s">
        <v>1</v>
      </c>
      <c r="C34" s="158" t="s">
        <v>45</v>
      </c>
      <c r="D34" s="159"/>
      <c r="E34" s="145" t="s">
        <v>46</v>
      </c>
      <c r="F34" s="147" t="s">
        <v>47</v>
      </c>
      <c r="G34" s="155" t="s">
        <v>50</v>
      </c>
      <c r="H34" s="156"/>
      <c r="I34" s="156"/>
      <c r="J34" s="156"/>
      <c r="K34" s="156"/>
      <c r="L34" s="156"/>
      <c r="M34" s="156"/>
      <c r="N34" s="157"/>
      <c r="O34" s="142" t="s">
        <v>22</v>
      </c>
    </row>
    <row r="35" spans="2:16" ht="14.25" customHeight="1" x14ac:dyDescent="0.2">
      <c r="B35" s="150"/>
      <c r="C35" s="160"/>
      <c r="D35" s="161"/>
      <c r="E35" s="146"/>
      <c r="F35" s="148"/>
      <c r="G35" s="152" t="s">
        <v>19</v>
      </c>
      <c r="H35" s="153"/>
      <c r="I35" s="153"/>
      <c r="J35" s="154"/>
      <c r="K35" s="152" t="s">
        <v>18</v>
      </c>
      <c r="L35" s="153"/>
      <c r="M35" s="153"/>
      <c r="N35" s="154"/>
      <c r="O35" s="143"/>
    </row>
    <row r="36" spans="2:16" ht="15" customHeight="1" thickBot="1" x14ac:dyDescent="0.25">
      <c r="B36" s="151">
        <v>0</v>
      </c>
      <c r="C36" s="101" t="s">
        <v>16</v>
      </c>
      <c r="D36" s="101" t="s">
        <v>67</v>
      </c>
      <c r="E36" s="102" t="s">
        <v>16</v>
      </c>
      <c r="F36" s="103" t="s">
        <v>16</v>
      </c>
      <c r="G36" s="104" t="s">
        <v>48</v>
      </c>
      <c r="H36" s="105" t="s">
        <v>49</v>
      </c>
      <c r="I36" s="104" t="s">
        <v>48</v>
      </c>
      <c r="J36" s="105" t="s">
        <v>49</v>
      </c>
      <c r="K36" s="104" t="s">
        <v>48</v>
      </c>
      <c r="L36" s="105" t="s">
        <v>49</v>
      </c>
      <c r="M36" s="104" t="s">
        <v>48</v>
      </c>
      <c r="N36" s="105" t="s">
        <v>49</v>
      </c>
      <c r="O36" s="144"/>
    </row>
    <row r="37" spans="2:16" ht="15" x14ac:dyDescent="0.2">
      <c r="B37" s="93" t="str">
        <f>+'Datos cuencas'!B32</f>
        <v>C1</v>
      </c>
      <c r="C37" s="94">
        <f>+'Datos cuencas'!E32</f>
        <v>5.1086566668</v>
      </c>
      <c r="D37" s="94">
        <f>+C37*100</f>
        <v>510.86566668</v>
      </c>
      <c r="E37" s="117">
        <f>2.9/C37</f>
        <v>0.5676639064132929</v>
      </c>
      <c r="F37" s="117">
        <f>1-E37</f>
        <v>0.4323360935867071</v>
      </c>
      <c r="G37" s="106">
        <v>0.7</v>
      </c>
      <c r="H37" s="107">
        <v>90</v>
      </c>
      <c r="I37" s="106">
        <v>0.3</v>
      </c>
      <c r="J37" s="107">
        <v>70</v>
      </c>
      <c r="K37" s="106">
        <v>0.7</v>
      </c>
      <c r="L37" s="107">
        <v>70</v>
      </c>
      <c r="M37" s="106">
        <v>0.3</v>
      </c>
      <c r="N37" s="107">
        <v>81</v>
      </c>
      <c r="O37" s="95">
        <f>+E37*G37*H37+E37*I37*J37+F37*K37*L37+F37*M37*N37</f>
        <v>79.374003798622226</v>
      </c>
      <c r="P37" s="116"/>
    </row>
    <row r="38" spans="2:16" ht="15" x14ac:dyDescent="0.2">
      <c r="B38" s="96" t="str">
        <f>+'Datos cuencas'!B33</f>
        <v>C2</v>
      </c>
      <c r="C38" s="64">
        <f>+'Datos cuencas'!E33</f>
        <v>0.3459859642</v>
      </c>
      <c r="D38" s="64">
        <f t="shared" ref="D38:D43" si="6">+C38*100</f>
        <v>34.59859642</v>
      </c>
      <c r="E38" s="118">
        <v>0</v>
      </c>
      <c r="F38" s="118">
        <f t="shared" ref="F38:F43" si="7">1-E38</f>
        <v>1</v>
      </c>
      <c r="G38" s="108">
        <v>0.7</v>
      </c>
      <c r="H38" s="109">
        <v>90</v>
      </c>
      <c r="I38" s="108">
        <v>0.3</v>
      </c>
      <c r="J38" s="109">
        <v>70</v>
      </c>
      <c r="K38" s="108">
        <v>0.7</v>
      </c>
      <c r="L38" s="109">
        <v>70</v>
      </c>
      <c r="M38" s="108">
        <v>0.3</v>
      </c>
      <c r="N38" s="109">
        <v>81</v>
      </c>
      <c r="O38" s="97">
        <f t="shared" ref="O38:O43" si="8">+E38*G38*H38+E38*I38*J38+F38*K38*L38+F38*M38*N38</f>
        <v>73.3</v>
      </c>
    </row>
    <row r="39" spans="2:16" ht="15" x14ac:dyDescent="0.2">
      <c r="B39" s="96" t="str">
        <f>+'Datos cuencas'!B34</f>
        <v>C3</v>
      </c>
      <c r="C39" s="64">
        <f>+'Datos cuencas'!E34</f>
        <v>0.2806760311</v>
      </c>
      <c r="D39" s="64">
        <f t="shared" si="6"/>
        <v>28.06760311</v>
      </c>
      <c r="E39" s="118">
        <v>0</v>
      </c>
      <c r="F39" s="118">
        <f t="shared" si="7"/>
        <v>1</v>
      </c>
      <c r="G39" s="108">
        <v>0.7</v>
      </c>
      <c r="H39" s="109">
        <v>90</v>
      </c>
      <c r="I39" s="108">
        <v>0.3</v>
      </c>
      <c r="J39" s="109">
        <v>70</v>
      </c>
      <c r="K39" s="108">
        <v>0.7</v>
      </c>
      <c r="L39" s="109">
        <v>70</v>
      </c>
      <c r="M39" s="108">
        <v>0.3</v>
      </c>
      <c r="N39" s="109">
        <v>81</v>
      </c>
      <c r="O39" s="97">
        <f t="shared" si="8"/>
        <v>73.3</v>
      </c>
    </row>
    <row r="40" spans="2:16" ht="15" x14ac:dyDescent="0.2">
      <c r="B40" s="96" t="str">
        <f>+'Datos cuencas'!B35</f>
        <v>C4</v>
      </c>
      <c r="C40" s="64">
        <f>+'Datos cuencas'!E35</f>
        <v>3.2811036600000003E-2</v>
      </c>
      <c r="D40" s="64">
        <f t="shared" si="6"/>
        <v>3.2811036600000003</v>
      </c>
      <c r="E40" s="118">
        <v>0</v>
      </c>
      <c r="F40" s="118">
        <f t="shared" si="7"/>
        <v>1</v>
      </c>
      <c r="G40" s="108">
        <v>0.7</v>
      </c>
      <c r="H40" s="109">
        <v>90</v>
      </c>
      <c r="I40" s="108">
        <v>0.3</v>
      </c>
      <c r="J40" s="109">
        <v>70</v>
      </c>
      <c r="K40" s="108">
        <v>0.7</v>
      </c>
      <c r="L40" s="109">
        <v>70</v>
      </c>
      <c r="M40" s="108">
        <v>0.3</v>
      </c>
      <c r="N40" s="109">
        <v>81</v>
      </c>
      <c r="O40" s="97">
        <f t="shared" si="8"/>
        <v>73.3</v>
      </c>
    </row>
    <row r="41" spans="2:16" ht="15" x14ac:dyDescent="0.2">
      <c r="B41" s="96" t="str">
        <f>+'Datos cuencas'!B36</f>
        <v>C5</v>
      </c>
      <c r="C41" s="64">
        <f>+'Datos cuencas'!E36</f>
        <v>4.6725859815999993</v>
      </c>
      <c r="D41" s="64">
        <f t="shared" si="6"/>
        <v>467.25859815999991</v>
      </c>
      <c r="E41" s="118">
        <v>0</v>
      </c>
      <c r="F41" s="118">
        <f t="shared" si="7"/>
        <v>1</v>
      </c>
      <c r="G41" s="108">
        <v>0.7</v>
      </c>
      <c r="H41" s="109">
        <v>90</v>
      </c>
      <c r="I41" s="108">
        <v>0.3</v>
      </c>
      <c r="J41" s="109">
        <v>70</v>
      </c>
      <c r="K41" s="108">
        <v>0.7</v>
      </c>
      <c r="L41" s="109">
        <v>70</v>
      </c>
      <c r="M41" s="108">
        <v>0.3</v>
      </c>
      <c r="N41" s="109">
        <v>81</v>
      </c>
      <c r="O41" s="97">
        <f t="shared" si="8"/>
        <v>73.3</v>
      </c>
    </row>
    <row r="42" spans="2:16" ht="15" x14ac:dyDescent="0.2">
      <c r="B42" s="96" t="str">
        <f>+'Datos cuencas'!B37</f>
        <v>C6</v>
      </c>
      <c r="C42" s="64">
        <f>+'Datos cuencas'!E37</f>
        <v>0.59867993110000006</v>
      </c>
      <c r="D42" s="64">
        <f t="shared" si="6"/>
        <v>59.867993110000008</v>
      </c>
      <c r="E42" s="118">
        <v>0</v>
      </c>
      <c r="F42" s="118">
        <f t="shared" si="7"/>
        <v>1</v>
      </c>
      <c r="G42" s="108">
        <v>0.7</v>
      </c>
      <c r="H42" s="109">
        <v>90</v>
      </c>
      <c r="I42" s="108">
        <v>0.3</v>
      </c>
      <c r="J42" s="109">
        <v>70</v>
      </c>
      <c r="K42" s="108">
        <v>0.7</v>
      </c>
      <c r="L42" s="109">
        <v>70</v>
      </c>
      <c r="M42" s="108">
        <v>0.3</v>
      </c>
      <c r="N42" s="109">
        <v>81</v>
      </c>
      <c r="O42" s="97">
        <f t="shared" si="8"/>
        <v>73.3</v>
      </c>
    </row>
    <row r="43" spans="2:16" ht="15.75" thickBot="1" x14ac:dyDescent="0.25">
      <c r="B43" s="98" t="str">
        <f>+'Datos cuencas'!B38</f>
        <v>C7</v>
      </c>
      <c r="C43" s="99">
        <f>+'Datos cuencas'!E38</f>
        <v>1.0988190604000001</v>
      </c>
      <c r="D43" s="99">
        <f t="shared" si="6"/>
        <v>109.88190604</v>
      </c>
      <c r="E43" s="119">
        <v>0</v>
      </c>
      <c r="F43" s="119">
        <f t="shared" si="7"/>
        <v>1</v>
      </c>
      <c r="G43" s="110">
        <v>0.7</v>
      </c>
      <c r="H43" s="111">
        <v>90</v>
      </c>
      <c r="I43" s="110">
        <v>0.3</v>
      </c>
      <c r="J43" s="111">
        <v>70</v>
      </c>
      <c r="K43" s="110">
        <v>0.7</v>
      </c>
      <c r="L43" s="111">
        <v>70</v>
      </c>
      <c r="M43" s="110">
        <v>0.3</v>
      </c>
      <c r="N43" s="111">
        <v>81</v>
      </c>
      <c r="O43" s="100">
        <f t="shared" si="8"/>
        <v>73.3</v>
      </c>
    </row>
  </sheetData>
  <mergeCells count="27">
    <mergeCell ref="B33:O33"/>
    <mergeCell ref="B34:B36"/>
    <mergeCell ref="E34:E35"/>
    <mergeCell ref="F34:F35"/>
    <mergeCell ref="O34:O36"/>
    <mergeCell ref="G34:N34"/>
    <mergeCell ref="G35:J35"/>
    <mergeCell ref="K35:N35"/>
    <mergeCell ref="C34:D35"/>
    <mergeCell ref="O22:O24"/>
    <mergeCell ref="B22:B24"/>
    <mergeCell ref="E22:E23"/>
    <mergeCell ref="F22:F23"/>
    <mergeCell ref="G22:N22"/>
    <mergeCell ref="G23:J23"/>
    <mergeCell ref="K23:N23"/>
    <mergeCell ref="C22:D23"/>
    <mergeCell ref="B8:O8"/>
    <mergeCell ref="B21:O21"/>
    <mergeCell ref="O9:O11"/>
    <mergeCell ref="E9:E10"/>
    <mergeCell ref="F9:F10"/>
    <mergeCell ref="B9:B11"/>
    <mergeCell ref="G10:J10"/>
    <mergeCell ref="G9:N9"/>
    <mergeCell ref="K10:N10"/>
    <mergeCell ref="C9:D1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73"/>
  <sheetViews>
    <sheetView showGridLines="0" topLeftCell="A51" zoomScale="85" zoomScaleNormal="85" workbookViewId="0">
      <selection activeCell="AD57" sqref="AD57"/>
    </sheetView>
  </sheetViews>
  <sheetFormatPr baseColWidth="10" defaultRowHeight="14.25" x14ac:dyDescent="0.2"/>
  <cols>
    <col min="1" max="16384" width="11.42578125" style="6"/>
  </cols>
  <sheetData>
    <row r="1" spans="2:7" ht="15" x14ac:dyDescent="0.25">
      <c r="B1" s="5" t="s">
        <v>24</v>
      </c>
      <c r="E1" s="11" t="s">
        <v>25</v>
      </c>
    </row>
    <row r="3" spans="2:7" x14ac:dyDescent="0.2">
      <c r="B3" s="6" t="s">
        <v>39</v>
      </c>
      <c r="C3" s="15">
        <v>25</v>
      </c>
      <c r="D3" s="6" t="s">
        <v>42</v>
      </c>
      <c r="E3" s="6" t="s">
        <v>27</v>
      </c>
      <c r="F3" s="17">
        <f>+(601*C3^0.23)/((C5+6)^0.69)</f>
        <v>34.232352258618121</v>
      </c>
      <c r="G3" s="6" t="s">
        <v>35</v>
      </c>
    </row>
    <row r="4" spans="2:7" x14ac:dyDescent="0.2">
      <c r="B4" s="6" t="s">
        <v>33</v>
      </c>
      <c r="C4" s="36">
        <v>3</v>
      </c>
      <c r="D4" s="6" t="s">
        <v>13</v>
      </c>
      <c r="E4" s="6" t="s">
        <v>26</v>
      </c>
      <c r="F4" s="9">
        <f>+F3*C4</f>
        <v>102.69705677585436</v>
      </c>
      <c r="G4" s="6" t="s">
        <v>37</v>
      </c>
    </row>
    <row r="5" spans="2:7" x14ac:dyDescent="0.2">
      <c r="C5" s="16">
        <f>+C4*60</f>
        <v>180</v>
      </c>
      <c r="D5" s="6" t="s">
        <v>14</v>
      </c>
    </row>
    <row r="6" spans="2:7" ht="15" thickBot="1" x14ac:dyDescent="0.25">
      <c r="B6" s="6" t="s">
        <v>28</v>
      </c>
      <c r="C6" s="18">
        <f>+C4/B20</f>
        <v>0.25</v>
      </c>
      <c r="D6" s="6" t="s">
        <v>13</v>
      </c>
    </row>
    <row r="7" spans="2:7" ht="15" x14ac:dyDescent="0.2">
      <c r="B7" s="162" t="s">
        <v>29</v>
      </c>
      <c r="C7" s="44" t="s">
        <v>30</v>
      </c>
      <c r="D7" s="45" t="s">
        <v>30</v>
      </c>
      <c r="E7" s="44" t="s">
        <v>31</v>
      </c>
      <c r="F7" s="44" t="s">
        <v>38</v>
      </c>
      <c r="G7" s="46" t="s">
        <v>38</v>
      </c>
    </row>
    <row r="8" spans="2:7" ht="15" thickBot="1" x14ac:dyDescent="0.25">
      <c r="B8" s="163"/>
      <c r="C8" s="41" t="s">
        <v>13</v>
      </c>
      <c r="D8" s="42" t="s">
        <v>14</v>
      </c>
      <c r="E8" s="42" t="s">
        <v>35</v>
      </c>
      <c r="F8" s="42" t="s">
        <v>36</v>
      </c>
      <c r="G8" s="43" t="s">
        <v>37</v>
      </c>
    </row>
    <row r="9" spans="2:7" ht="15" x14ac:dyDescent="0.25">
      <c r="B9" s="19">
        <v>1</v>
      </c>
      <c r="C9" s="20">
        <f>+C6</f>
        <v>0.25</v>
      </c>
      <c r="D9" s="21">
        <f>+C9*60</f>
        <v>15</v>
      </c>
      <c r="E9" s="22">
        <f>+G9/C9</f>
        <v>106.80493904688853</v>
      </c>
      <c r="F9" s="52">
        <f>0.52/2</f>
        <v>0.26</v>
      </c>
      <c r="G9" s="47">
        <f t="shared" ref="G9:G20" si="0">+$F$4*F9</f>
        <v>26.701234761722134</v>
      </c>
    </row>
    <row r="10" spans="2:7" ht="15" x14ac:dyDescent="0.25">
      <c r="B10" s="23">
        <f>+B9+1</f>
        <v>2</v>
      </c>
      <c r="C10" s="24">
        <f t="shared" ref="C10:C20" si="1">+C9+$C$6</f>
        <v>0.5</v>
      </c>
      <c r="D10" s="25">
        <f t="shared" ref="D10:D17" si="2">+C10*60</f>
        <v>30</v>
      </c>
      <c r="E10" s="26">
        <f t="shared" ref="E10:E17" si="3">+G10/C10</f>
        <v>53.402469523444267</v>
      </c>
      <c r="F10" s="53">
        <f>+F9</f>
        <v>0.26</v>
      </c>
      <c r="G10" s="48">
        <f t="shared" si="0"/>
        <v>26.701234761722134</v>
      </c>
    </row>
    <row r="11" spans="2:7" ht="15" x14ac:dyDescent="0.25">
      <c r="B11" s="27">
        <f t="shared" ref="B11:B20" si="4">+B10+1</f>
        <v>3</v>
      </c>
      <c r="C11" s="28">
        <f t="shared" si="1"/>
        <v>0.75</v>
      </c>
      <c r="D11" s="29">
        <f t="shared" si="2"/>
        <v>45</v>
      </c>
      <c r="E11" s="30">
        <f t="shared" si="3"/>
        <v>15.746882038964337</v>
      </c>
      <c r="F11" s="54">
        <f>0.23/2</f>
        <v>0.115</v>
      </c>
      <c r="G11" s="49">
        <f t="shared" si="0"/>
        <v>11.810161529223253</v>
      </c>
    </row>
    <row r="12" spans="2:7" ht="15" x14ac:dyDescent="0.25">
      <c r="B12" s="27">
        <f t="shared" si="4"/>
        <v>4</v>
      </c>
      <c r="C12" s="28">
        <f t="shared" si="1"/>
        <v>1</v>
      </c>
      <c r="D12" s="29">
        <f t="shared" si="2"/>
        <v>60</v>
      </c>
      <c r="E12" s="30">
        <f t="shared" si="3"/>
        <v>11.810161529223253</v>
      </c>
      <c r="F12" s="54">
        <f>+F11</f>
        <v>0.115</v>
      </c>
      <c r="G12" s="49">
        <f t="shared" si="0"/>
        <v>11.810161529223253</v>
      </c>
    </row>
    <row r="13" spans="2:7" ht="15" x14ac:dyDescent="0.25">
      <c r="B13" s="27">
        <f t="shared" si="4"/>
        <v>5</v>
      </c>
      <c r="C13" s="28">
        <f t="shared" si="1"/>
        <v>1.25</v>
      </c>
      <c r="D13" s="29">
        <f t="shared" si="2"/>
        <v>75</v>
      </c>
      <c r="E13" s="30">
        <f t="shared" si="3"/>
        <v>4.9294587252410098</v>
      </c>
      <c r="F13" s="54">
        <f>0.12/2</f>
        <v>0.06</v>
      </c>
      <c r="G13" s="49">
        <f t="shared" si="0"/>
        <v>6.161823406551262</v>
      </c>
    </row>
    <row r="14" spans="2:7" ht="15" x14ac:dyDescent="0.25">
      <c r="B14" s="27">
        <f t="shared" si="4"/>
        <v>6</v>
      </c>
      <c r="C14" s="28">
        <f t="shared" si="1"/>
        <v>1.5</v>
      </c>
      <c r="D14" s="29">
        <f t="shared" si="2"/>
        <v>90</v>
      </c>
      <c r="E14" s="30">
        <f t="shared" si="3"/>
        <v>4.1078822710341747</v>
      </c>
      <c r="F14" s="54">
        <f>+F13</f>
        <v>0.06</v>
      </c>
      <c r="G14" s="49">
        <f t="shared" si="0"/>
        <v>6.161823406551262</v>
      </c>
    </row>
    <row r="15" spans="2:7" ht="15" x14ac:dyDescent="0.25">
      <c r="B15" s="27">
        <f t="shared" si="4"/>
        <v>7</v>
      </c>
      <c r="C15" s="28">
        <f t="shared" si="1"/>
        <v>1.75</v>
      </c>
      <c r="D15" s="29">
        <f t="shared" si="2"/>
        <v>105</v>
      </c>
      <c r="E15" s="30">
        <f t="shared" si="3"/>
        <v>2.0539411355170873</v>
      </c>
      <c r="F15" s="54">
        <f>0.07/2</f>
        <v>3.5000000000000003E-2</v>
      </c>
      <c r="G15" s="49">
        <f t="shared" si="0"/>
        <v>3.5943969871549029</v>
      </c>
    </row>
    <row r="16" spans="2:7" ht="15" x14ac:dyDescent="0.25">
      <c r="B16" s="27">
        <f t="shared" si="4"/>
        <v>8</v>
      </c>
      <c r="C16" s="28">
        <f t="shared" si="1"/>
        <v>2</v>
      </c>
      <c r="D16" s="29">
        <f t="shared" si="2"/>
        <v>120</v>
      </c>
      <c r="E16" s="30">
        <f t="shared" si="3"/>
        <v>1.7971984935774514</v>
      </c>
      <c r="F16" s="54">
        <f>+F15</f>
        <v>3.5000000000000003E-2</v>
      </c>
      <c r="G16" s="49">
        <f t="shared" si="0"/>
        <v>3.5943969871549029</v>
      </c>
    </row>
    <row r="17" spans="2:7" ht="15" x14ac:dyDescent="0.25">
      <c r="B17" s="27">
        <f t="shared" si="4"/>
        <v>9</v>
      </c>
      <c r="C17" s="28">
        <f t="shared" si="1"/>
        <v>2.25</v>
      </c>
      <c r="D17" s="29">
        <f t="shared" si="2"/>
        <v>135</v>
      </c>
      <c r="E17" s="30">
        <f t="shared" si="3"/>
        <v>0.91286272689648329</v>
      </c>
      <c r="F17" s="54">
        <f>0.04/2</f>
        <v>0.02</v>
      </c>
      <c r="G17" s="49">
        <f t="shared" si="0"/>
        <v>2.0539411355170873</v>
      </c>
    </row>
    <row r="18" spans="2:7" ht="15" x14ac:dyDescent="0.25">
      <c r="B18" s="37">
        <f t="shared" si="4"/>
        <v>10</v>
      </c>
      <c r="C18" s="38">
        <f t="shared" si="1"/>
        <v>2.5</v>
      </c>
      <c r="D18" s="39">
        <f t="shared" ref="D18:D20" si="5">+C18*60</f>
        <v>150</v>
      </c>
      <c r="E18" s="40">
        <f t="shared" ref="E18:E20" si="6">+G18/C18</f>
        <v>0.82157645420683489</v>
      </c>
      <c r="F18" s="54">
        <f>+F17</f>
        <v>0.02</v>
      </c>
      <c r="G18" s="50">
        <f t="shared" si="0"/>
        <v>2.0539411355170873</v>
      </c>
    </row>
    <row r="19" spans="2:7" ht="15" x14ac:dyDescent="0.25">
      <c r="B19" s="37">
        <f t="shared" si="4"/>
        <v>11</v>
      </c>
      <c r="C19" s="38">
        <f t="shared" si="1"/>
        <v>2.75</v>
      </c>
      <c r="D19" s="39">
        <f t="shared" si="5"/>
        <v>165</v>
      </c>
      <c r="E19" s="40">
        <f t="shared" si="6"/>
        <v>0.37344384282128862</v>
      </c>
      <c r="F19" s="55">
        <f>0.02/2</f>
        <v>0.01</v>
      </c>
      <c r="G19" s="50">
        <f t="shared" si="0"/>
        <v>1.0269705677585437</v>
      </c>
    </row>
    <row r="20" spans="2:7" ht="15.75" thickBot="1" x14ac:dyDescent="0.3">
      <c r="B20" s="31">
        <f t="shared" si="4"/>
        <v>12</v>
      </c>
      <c r="C20" s="32">
        <f t="shared" si="1"/>
        <v>3</v>
      </c>
      <c r="D20" s="33">
        <f t="shared" si="5"/>
        <v>180</v>
      </c>
      <c r="E20" s="34">
        <f t="shared" si="6"/>
        <v>0.34232352258618121</v>
      </c>
      <c r="F20" s="56">
        <f>+F19</f>
        <v>0.01</v>
      </c>
      <c r="G20" s="51">
        <f t="shared" si="0"/>
        <v>1.0269705677585437</v>
      </c>
    </row>
    <row r="21" spans="2:7" x14ac:dyDescent="0.2">
      <c r="E21" s="7" t="s">
        <v>9</v>
      </c>
      <c r="F21" s="35">
        <f>+SUM(F9:F20)</f>
        <v>1.0000000000000002</v>
      </c>
      <c r="G21" s="8">
        <f>+SUM(G9:G20)</f>
        <v>102.69705677585438</v>
      </c>
    </row>
    <row r="23" spans="2:7" x14ac:dyDescent="0.2">
      <c r="B23" s="6" t="s">
        <v>39</v>
      </c>
      <c r="C23" s="15">
        <v>25</v>
      </c>
      <c r="D23" s="6" t="s">
        <v>42</v>
      </c>
      <c r="E23" s="6" t="s">
        <v>27</v>
      </c>
      <c r="F23" s="17">
        <f>+(601*C23^0.23)/((C25+6)^0.69)</f>
        <v>44.786280713962398</v>
      </c>
      <c r="G23" s="6" t="s">
        <v>35</v>
      </c>
    </row>
    <row r="24" spans="2:7" x14ac:dyDescent="0.2">
      <c r="B24" s="6" t="s">
        <v>33</v>
      </c>
      <c r="C24" s="36">
        <v>2</v>
      </c>
      <c r="D24" s="6" t="s">
        <v>13</v>
      </c>
      <c r="E24" s="6" t="s">
        <v>26</v>
      </c>
      <c r="F24" s="9">
        <f>+F23*C24</f>
        <v>89.572561427924796</v>
      </c>
      <c r="G24" s="6" t="s">
        <v>37</v>
      </c>
    </row>
    <row r="25" spans="2:7" x14ac:dyDescent="0.2">
      <c r="C25" s="16">
        <f>+C24*60</f>
        <v>120</v>
      </c>
      <c r="D25" s="6" t="s">
        <v>14</v>
      </c>
    </row>
    <row r="26" spans="2:7" ht="15" thickBot="1" x14ac:dyDescent="0.25">
      <c r="B26" s="6" t="s">
        <v>28</v>
      </c>
      <c r="C26" s="18">
        <f>+C24/B40</f>
        <v>0.16666666666666666</v>
      </c>
      <c r="D26" s="6" t="s">
        <v>13</v>
      </c>
    </row>
    <row r="27" spans="2:7" ht="15" x14ac:dyDescent="0.2">
      <c r="B27" s="162" t="s">
        <v>29</v>
      </c>
      <c r="C27" s="44" t="s">
        <v>30</v>
      </c>
      <c r="D27" s="45" t="s">
        <v>30</v>
      </c>
      <c r="E27" s="44" t="s">
        <v>31</v>
      </c>
      <c r="F27" s="44" t="s">
        <v>38</v>
      </c>
      <c r="G27" s="46" t="s">
        <v>38</v>
      </c>
    </row>
    <row r="28" spans="2:7" ht="15" thickBot="1" x14ac:dyDescent="0.25">
      <c r="B28" s="163"/>
      <c r="C28" s="41" t="s">
        <v>13</v>
      </c>
      <c r="D28" s="42" t="s">
        <v>14</v>
      </c>
      <c r="E28" s="42" t="s">
        <v>35</v>
      </c>
      <c r="F28" s="42" t="s">
        <v>36</v>
      </c>
      <c r="G28" s="43" t="s">
        <v>37</v>
      </c>
    </row>
    <row r="29" spans="2:7" ht="15" x14ac:dyDescent="0.25">
      <c r="B29" s="19">
        <v>1</v>
      </c>
      <c r="C29" s="20">
        <f>+C26</f>
        <v>0.16666666666666666</v>
      </c>
      <c r="D29" s="21">
        <f>+C29*60</f>
        <v>10</v>
      </c>
      <c r="E29" s="22">
        <f>+G29/C29</f>
        <v>67.179421070943604</v>
      </c>
      <c r="F29" s="52">
        <f>0.25/2</f>
        <v>0.125</v>
      </c>
      <c r="G29" s="47">
        <f>+$F$24*F29</f>
        <v>11.1965701784906</v>
      </c>
    </row>
    <row r="30" spans="2:7" ht="15" x14ac:dyDescent="0.25">
      <c r="B30" s="23">
        <f>+B29+1</f>
        <v>2</v>
      </c>
      <c r="C30" s="24">
        <f>+C29+$C$26</f>
        <v>0.33333333333333331</v>
      </c>
      <c r="D30" s="25">
        <f t="shared" ref="D30:D40" si="7">+C30*60</f>
        <v>20</v>
      </c>
      <c r="E30" s="26">
        <f t="shared" ref="E30:E40" si="8">+G30/C30</f>
        <v>33.589710535471802</v>
      </c>
      <c r="F30" s="53">
        <f>+F29</f>
        <v>0.125</v>
      </c>
      <c r="G30" s="48">
        <f t="shared" ref="G30:G39" si="9">+$F$24*F30</f>
        <v>11.1965701784906</v>
      </c>
    </row>
    <row r="31" spans="2:7" ht="15" x14ac:dyDescent="0.25">
      <c r="B31" s="27">
        <f t="shared" ref="B31:B40" si="10">+B30+1</f>
        <v>3</v>
      </c>
      <c r="C31" s="28">
        <f t="shared" ref="C31:C40" si="11">+C30+$C$26</f>
        <v>0.5</v>
      </c>
      <c r="D31" s="29">
        <f t="shared" si="7"/>
        <v>30</v>
      </c>
      <c r="E31" s="30">
        <f t="shared" si="8"/>
        <v>47.473457556800142</v>
      </c>
      <c r="F31" s="54">
        <f>0.53/2</f>
        <v>0.26500000000000001</v>
      </c>
      <c r="G31" s="49">
        <f t="shared" si="9"/>
        <v>23.736728778400071</v>
      </c>
    </row>
    <row r="32" spans="2:7" ht="15" x14ac:dyDescent="0.25">
      <c r="B32" s="27">
        <f t="shared" si="10"/>
        <v>4</v>
      </c>
      <c r="C32" s="28">
        <f t="shared" si="11"/>
        <v>0.66666666666666663</v>
      </c>
      <c r="D32" s="29">
        <f t="shared" si="7"/>
        <v>40</v>
      </c>
      <c r="E32" s="30">
        <f t="shared" si="8"/>
        <v>35.60509316760011</v>
      </c>
      <c r="F32" s="54">
        <f>+F31</f>
        <v>0.26500000000000001</v>
      </c>
      <c r="G32" s="49">
        <f t="shared" si="9"/>
        <v>23.736728778400071</v>
      </c>
    </row>
    <row r="33" spans="2:7" ht="15" x14ac:dyDescent="0.25">
      <c r="B33" s="27">
        <f t="shared" si="10"/>
        <v>5</v>
      </c>
      <c r="C33" s="28">
        <f t="shared" si="11"/>
        <v>0.83333333333333326</v>
      </c>
      <c r="D33" s="29">
        <f t="shared" si="7"/>
        <v>49.999999999999993</v>
      </c>
      <c r="E33" s="30">
        <f t="shared" si="8"/>
        <v>5.9117890542430374</v>
      </c>
      <c r="F33" s="54">
        <f>0.11/2</f>
        <v>5.5E-2</v>
      </c>
      <c r="G33" s="49">
        <f t="shared" si="9"/>
        <v>4.9264908785358639</v>
      </c>
    </row>
    <row r="34" spans="2:7" ht="15" x14ac:dyDescent="0.25">
      <c r="B34" s="27">
        <f t="shared" si="10"/>
        <v>6</v>
      </c>
      <c r="C34" s="28">
        <f t="shared" si="11"/>
        <v>0.99999999999999989</v>
      </c>
      <c r="D34" s="29">
        <f t="shared" si="7"/>
        <v>59.999999999999993</v>
      </c>
      <c r="E34" s="30">
        <f t="shared" si="8"/>
        <v>4.9264908785358648</v>
      </c>
      <c r="F34" s="54">
        <f>+F33</f>
        <v>5.5E-2</v>
      </c>
      <c r="G34" s="49">
        <f t="shared" si="9"/>
        <v>4.9264908785358639</v>
      </c>
    </row>
    <row r="35" spans="2:7" ht="15" x14ac:dyDescent="0.25">
      <c r="B35" s="27">
        <f t="shared" si="10"/>
        <v>7</v>
      </c>
      <c r="C35" s="28">
        <f t="shared" si="11"/>
        <v>1.1666666666666665</v>
      </c>
      <c r="D35" s="29">
        <f t="shared" si="7"/>
        <v>69.999999999999986</v>
      </c>
      <c r="E35" s="30">
        <f t="shared" si="8"/>
        <v>2.3032944367180663</v>
      </c>
      <c r="F35" s="54">
        <f>0.06/2</f>
        <v>0.03</v>
      </c>
      <c r="G35" s="49">
        <f t="shared" si="9"/>
        <v>2.6871768428377436</v>
      </c>
    </row>
    <row r="36" spans="2:7" ht="15" x14ac:dyDescent="0.25">
      <c r="B36" s="27">
        <f t="shared" si="10"/>
        <v>8</v>
      </c>
      <c r="C36" s="28">
        <f t="shared" si="11"/>
        <v>1.3333333333333333</v>
      </c>
      <c r="D36" s="29">
        <f t="shared" si="7"/>
        <v>80</v>
      </c>
      <c r="E36" s="30">
        <f t="shared" si="8"/>
        <v>2.0153826321283077</v>
      </c>
      <c r="F36" s="54">
        <f>+F35</f>
        <v>0.03</v>
      </c>
      <c r="G36" s="49">
        <f t="shared" si="9"/>
        <v>2.6871768428377436</v>
      </c>
    </row>
    <row r="37" spans="2:7" ht="15" x14ac:dyDescent="0.25">
      <c r="B37" s="27">
        <f t="shared" si="10"/>
        <v>9</v>
      </c>
      <c r="C37" s="28">
        <f t="shared" si="11"/>
        <v>1.5</v>
      </c>
      <c r="D37" s="29">
        <f t="shared" si="7"/>
        <v>90</v>
      </c>
      <c r="E37" s="30">
        <f t="shared" si="8"/>
        <v>0.89572561427924791</v>
      </c>
      <c r="F37" s="54">
        <f>0.03/2</f>
        <v>1.4999999999999999E-2</v>
      </c>
      <c r="G37" s="49">
        <f t="shared" si="9"/>
        <v>1.3435884214188718</v>
      </c>
    </row>
    <row r="38" spans="2:7" ht="15" x14ac:dyDescent="0.25">
      <c r="B38" s="37">
        <f t="shared" si="10"/>
        <v>10</v>
      </c>
      <c r="C38" s="38">
        <f t="shared" si="11"/>
        <v>1.6666666666666667</v>
      </c>
      <c r="D38" s="39">
        <f t="shared" si="7"/>
        <v>100</v>
      </c>
      <c r="E38" s="40">
        <f t="shared" si="8"/>
        <v>0.80615305285132299</v>
      </c>
      <c r="F38" s="54">
        <f>+F37</f>
        <v>1.4999999999999999E-2</v>
      </c>
      <c r="G38" s="50">
        <f t="shared" si="9"/>
        <v>1.3435884214188718</v>
      </c>
    </row>
    <row r="39" spans="2:7" ht="15" x14ac:dyDescent="0.25">
      <c r="B39" s="37">
        <f t="shared" si="10"/>
        <v>11</v>
      </c>
      <c r="C39" s="38">
        <f t="shared" si="11"/>
        <v>1.8333333333333335</v>
      </c>
      <c r="D39" s="39">
        <f t="shared" si="7"/>
        <v>110.00000000000001</v>
      </c>
      <c r="E39" s="40">
        <f t="shared" si="8"/>
        <v>0.4885776077886807</v>
      </c>
      <c r="F39" s="55">
        <f>0.02/2</f>
        <v>0.01</v>
      </c>
      <c r="G39" s="50">
        <f t="shared" si="9"/>
        <v>0.89572561427924802</v>
      </c>
    </row>
    <row r="40" spans="2:7" ht="15.75" thickBot="1" x14ac:dyDescent="0.3">
      <c r="B40" s="31">
        <f t="shared" si="10"/>
        <v>12</v>
      </c>
      <c r="C40" s="32">
        <f t="shared" si="11"/>
        <v>2</v>
      </c>
      <c r="D40" s="33">
        <f t="shared" si="7"/>
        <v>120</v>
      </c>
      <c r="E40" s="34">
        <f t="shared" si="8"/>
        <v>0.44786280713962401</v>
      </c>
      <c r="F40" s="56">
        <f>+F39</f>
        <v>0.01</v>
      </c>
      <c r="G40" s="51">
        <f>+$F$24*F40</f>
        <v>0.89572561427924802</v>
      </c>
    </row>
    <row r="41" spans="2:7" x14ac:dyDescent="0.2">
      <c r="E41" s="7" t="s">
        <v>9</v>
      </c>
      <c r="F41" s="35">
        <f>+SUM(F29:F40)</f>
        <v>1.0000000000000002</v>
      </c>
      <c r="G41" s="8">
        <f>+SUM(G29:G40)</f>
        <v>89.572561427924768</v>
      </c>
    </row>
    <row r="43" spans="2:7" x14ac:dyDescent="0.2">
      <c r="B43" s="6" t="s">
        <v>39</v>
      </c>
      <c r="C43" s="15">
        <v>25</v>
      </c>
      <c r="D43" s="6" t="s">
        <v>42</v>
      </c>
      <c r="E43" s="6" t="s">
        <v>27</v>
      </c>
      <c r="F43" s="17">
        <f>+(601*C43^0.23)/((C45+6)^0.69)</f>
        <v>69.970561406467141</v>
      </c>
      <c r="G43" s="6" t="s">
        <v>35</v>
      </c>
    </row>
    <row r="44" spans="2:7" x14ac:dyDescent="0.2">
      <c r="B44" s="6" t="s">
        <v>33</v>
      </c>
      <c r="C44" s="36">
        <v>1</v>
      </c>
      <c r="D44" s="6" t="s">
        <v>13</v>
      </c>
      <c r="E44" s="6" t="s">
        <v>26</v>
      </c>
      <c r="F44" s="9">
        <f>+F43*C44</f>
        <v>69.970561406467141</v>
      </c>
      <c r="G44" s="6" t="s">
        <v>37</v>
      </c>
    </row>
    <row r="45" spans="2:7" x14ac:dyDescent="0.2">
      <c r="C45" s="16">
        <f>+C44*60</f>
        <v>60</v>
      </c>
      <c r="D45" s="6" t="s">
        <v>14</v>
      </c>
    </row>
    <row r="46" spans="2:7" ht="15" thickBot="1" x14ac:dyDescent="0.25">
      <c r="B46" s="6" t="s">
        <v>28</v>
      </c>
      <c r="C46" s="18">
        <f>+C44/B58</f>
        <v>0.1</v>
      </c>
      <c r="D46" s="6" t="s">
        <v>13</v>
      </c>
    </row>
    <row r="47" spans="2:7" ht="15" x14ac:dyDescent="0.2">
      <c r="B47" s="162" t="s">
        <v>29</v>
      </c>
      <c r="C47" s="44" t="s">
        <v>30</v>
      </c>
      <c r="D47" s="45" t="s">
        <v>30</v>
      </c>
      <c r="E47" s="44" t="s">
        <v>31</v>
      </c>
      <c r="F47" s="44" t="s">
        <v>38</v>
      </c>
      <c r="G47" s="46" t="s">
        <v>38</v>
      </c>
    </row>
    <row r="48" spans="2:7" ht="15" thickBot="1" x14ac:dyDescent="0.25">
      <c r="B48" s="163"/>
      <c r="C48" s="41" t="s">
        <v>13</v>
      </c>
      <c r="D48" s="42" t="s">
        <v>14</v>
      </c>
      <c r="E48" s="42" t="s">
        <v>35</v>
      </c>
      <c r="F48" s="42" t="s">
        <v>36</v>
      </c>
      <c r="G48" s="43" t="s">
        <v>37</v>
      </c>
    </row>
    <row r="49" spans="2:7" ht="15" x14ac:dyDescent="0.25">
      <c r="B49" s="19">
        <v>1</v>
      </c>
      <c r="C49" s="20">
        <f>+C46</f>
        <v>0.1</v>
      </c>
      <c r="D49" s="21">
        <f>+C49*60</f>
        <v>6</v>
      </c>
      <c r="E49" s="22">
        <f>+G49/C49</f>
        <v>90.961729828407286</v>
      </c>
      <c r="F49" s="52">
        <f>0.26/2</f>
        <v>0.13</v>
      </c>
      <c r="G49" s="47">
        <f>+$F$44*F49</f>
        <v>9.0961729828407289</v>
      </c>
    </row>
    <row r="50" spans="2:7" ht="15" x14ac:dyDescent="0.25">
      <c r="B50" s="23">
        <f>+B49+1</f>
        <v>2</v>
      </c>
      <c r="C50" s="24">
        <f>+C49+$C$46</f>
        <v>0.2</v>
      </c>
      <c r="D50" s="25">
        <f t="shared" ref="D50:D56" si="12">+C50*60</f>
        <v>12</v>
      </c>
      <c r="E50" s="26">
        <f t="shared" ref="E50:E56" si="13">+G50/C50</f>
        <v>45.480864914203643</v>
      </c>
      <c r="F50" s="53">
        <f>+F49</f>
        <v>0.13</v>
      </c>
      <c r="G50" s="48">
        <f t="shared" ref="G50:G56" si="14">+$F$44*F50</f>
        <v>9.0961729828407289</v>
      </c>
    </row>
    <row r="51" spans="2:7" ht="15" x14ac:dyDescent="0.25">
      <c r="B51" s="27">
        <f t="shared" ref="B51:B58" si="15">+B50+1</f>
        <v>3</v>
      </c>
      <c r="C51" s="28">
        <f t="shared" ref="C51:C58" si="16">+C50+$C$46</f>
        <v>0.30000000000000004</v>
      </c>
      <c r="D51" s="29">
        <f t="shared" si="12"/>
        <v>18.000000000000004</v>
      </c>
      <c r="E51" s="30">
        <f t="shared" si="13"/>
        <v>59.474977195497054</v>
      </c>
      <c r="F51" s="54">
        <f>0.51/2</f>
        <v>0.255</v>
      </c>
      <c r="G51" s="49">
        <f t="shared" si="14"/>
        <v>17.84249315864912</v>
      </c>
    </row>
    <row r="52" spans="2:7" ht="15" x14ac:dyDescent="0.25">
      <c r="B52" s="27">
        <f t="shared" si="15"/>
        <v>4</v>
      </c>
      <c r="C52" s="28">
        <f t="shared" si="16"/>
        <v>0.4</v>
      </c>
      <c r="D52" s="29">
        <f t="shared" si="12"/>
        <v>24</v>
      </c>
      <c r="E52" s="30">
        <f t="shared" si="13"/>
        <v>44.606232896622799</v>
      </c>
      <c r="F52" s="54">
        <f>+F51</f>
        <v>0.255</v>
      </c>
      <c r="G52" s="49">
        <f t="shared" si="14"/>
        <v>17.84249315864912</v>
      </c>
    </row>
    <row r="53" spans="2:7" ht="15" x14ac:dyDescent="0.25">
      <c r="B53" s="27">
        <f t="shared" si="15"/>
        <v>5</v>
      </c>
      <c r="C53" s="28">
        <f t="shared" si="16"/>
        <v>0.5</v>
      </c>
      <c r="D53" s="29">
        <f t="shared" si="12"/>
        <v>30</v>
      </c>
      <c r="E53" s="30">
        <f t="shared" si="13"/>
        <v>9.0961729828407289</v>
      </c>
      <c r="F53" s="54">
        <f>0.13/2</f>
        <v>6.5000000000000002E-2</v>
      </c>
      <c r="G53" s="49">
        <f t="shared" si="14"/>
        <v>4.5480864914203645</v>
      </c>
    </row>
    <row r="54" spans="2:7" ht="15" x14ac:dyDescent="0.25">
      <c r="B54" s="27">
        <f t="shared" si="15"/>
        <v>6</v>
      </c>
      <c r="C54" s="28">
        <f t="shared" si="16"/>
        <v>0.6</v>
      </c>
      <c r="D54" s="29">
        <f t="shared" si="12"/>
        <v>36</v>
      </c>
      <c r="E54" s="30">
        <f t="shared" si="13"/>
        <v>7.5801441523672741</v>
      </c>
      <c r="F54" s="54">
        <f>+F53</f>
        <v>6.5000000000000002E-2</v>
      </c>
      <c r="G54" s="49">
        <f t="shared" si="14"/>
        <v>4.5480864914203645</v>
      </c>
    </row>
    <row r="55" spans="2:7" ht="15" x14ac:dyDescent="0.25">
      <c r="B55" s="27">
        <f t="shared" si="15"/>
        <v>7</v>
      </c>
      <c r="C55" s="28">
        <f t="shared" si="16"/>
        <v>0.7</v>
      </c>
      <c r="D55" s="29">
        <f t="shared" si="12"/>
        <v>42</v>
      </c>
      <c r="E55" s="30">
        <f t="shared" si="13"/>
        <v>3.4985280703233572</v>
      </c>
      <c r="F55" s="54">
        <f>0.07/2</f>
        <v>3.5000000000000003E-2</v>
      </c>
      <c r="G55" s="49">
        <f t="shared" si="14"/>
        <v>2.44896964922635</v>
      </c>
    </row>
    <row r="56" spans="2:7" ht="15" x14ac:dyDescent="0.25">
      <c r="B56" s="27">
        <f t="shared" si="15"/>
        <v>8</v>
      </c>
      <c r="C56" s="28">
        <f t="shared" si="16"/>
        <v>0.79999999999999993</v>
      </c>
      <c r="D56" s="29">
        <f t="shared" si="12"/>
        <v>47.999999999999993</v>
      </c>
      <c r="E56" s="30">
        <f t="shared" si="13"/>
        <v>3.0612120615329377</v>
      </c>
      <c r="F56" s="54">
        <f>+F55</f>
        <v>3.5000000000000003E-2</v>
      </c>
      <c r="G56" s="49">
        <f t="shared" si="14"/>
        <v>2.44896964922635</v>
      </c>
    </row>
    <row r="57" spans="2:7" ht="15" x14ac:dyDescent="0.25">
      <c r="B57" s="37">
        <f t="shared" si="15"/>
        <v>9</v>
      </c>
      <c r="C57" s="38">
        <f t="shared" si="16"/>
        <v>0.89999999999999991</v>
      </c>
      <c r="D57" s="39">
        <f>+C57*60</f>
        <v>53.999999999999993</v>
      </c>
      <c r="E57" s="40">
        <f>+G57/C57</f>
        <v>1.1661760234411191</v>
      </c>
      <c r="F57" s="55">
        <v>1.4999999999999999E-2</v>
      </c>
      <c r="G57" s="50">
        <f>+$F$44*F57</f>
        <v>1.049558421097007</v>
      </c>
    </row>
    <row r="58" spans="2:7" ht="15.75" thickBot="1" x14ac:dyDescent="0.3">
      <c r="B58" s="31">
        <f t="shared" si="15"/>
        <v>10</v>
      </c>
      <c r="C58" s="32">
        <f t="shared" si="16"/>
        <v>0.99999999999999989</v>
      </c>
      <c r="D58" s="33">
        <f>+C58*60</f>
        <v>59.999999999999993</v>
      </c>
      <c r="E58" s="34">
        <f>+G58/C58</f>
        <v>1.0495584210970073</v>
      </c>
      <c r="F58" s="56">
        <f>+F57</f>
        <v>1.4999999999999999E-2</v>
      </c>
      <c r="G58" s="51">
        <f>+$F$44*F58</f>
        <v>1.049558421097007</v>
      </c>
    </row>
    <row r="59" spans="2:7" x14ac:dyDescent="0.2">
      <c r="E59" s="7" t="s">
        <v>9</v>
      </c>
      <c r="F59" s="35">
        <f>+SUM(F49:F58)</f>
        <v>1</v>
      </c>
      <c r="G59" s="8">
        <f>+SUM(G49:G58)</f>
        <v>69.970561406467141</v>
      </c>
    </row>
    <row r="61" spans="2:7" x14ac:dyDescent="0.2">
      <c r="B61" s="6" t="s">
        <v>39</v>
      </c>
      <c r="C61" s="15">
        <v>25</v>
      </c>
      <c r="D61" s="6" t="s">
        <v>42</v>
      </c>
      <c r="E61" s="6" t="s">
        <v>27</v>
      </c>
      <c r="F61" s="17">
        <f>+(601*C61^0.23)/((C63+6)^0.69)</f>
        <v>106.30457327024638</v>
      </c>
      <c r="G61" s="6" t="s">
        <v>35</v>
      </c>
    </row>
    <row r="62" spans="2:7" x14ac:dyDescent="0.2">
      <c r="B62" s="6" t="s">
        <v>33</v>
      </c>
      <c r="C62" s="57">
        <v>0.5</v>
      </c>
      <c r="D62" s="6" t="s">
        <v>13</v>
      </c>
      <c r="E62" s="6" t="s">
        <v>26</v>
      </c>
      <c r="F62" s="9">
        <f>+F61*C62</f>
        <v>53.15228663512319</v>
      </c>
      <c r="G62" s="6" t="s">
        <v>37</v>
      </c>
    </row>
    <row r="63" spans="2:7" x14ac:dyDescent="0.2">
      <c r="C63" s="16">
        <f>+C62*60</f>
        <v>30</v>
      </c>
      <c r="D63" s="6" t="s">
        <v>14</v>
      </c>
    </row>
    <row r="64" spans="2:7" ht="15" thickBot="1" x14ac:dyDescent="0.25">
      <c r="B64" s="6" t="s">
        <v>28</v>
      </c>
      <c r="C64" s="18">
        <f>+C62/B72</f>
        <v>8.3333333333333329E-2</v>
      </c>
      <c r="D64" s="6" t="s">
        <v>13</v>
      </c>
    </row>
    <row r="65" spans="2:7" ht="15" x14ac:dyDescent="0.2">
      <c r="B65" s="162" t="s">
        <v>29</v>
      </c>
      <c r="C65" s="44" t="s">
        <v>30</v>
      </c>
      <c r="D65" s="45" t="s">
        <v>30</v>
      </c>
      <c r="E65" s="44" t="s">
        <v>31</v>
      </c>
      <c r="F65" s="44" t="s">
        <v>38</v>
      </c>
      <c r="G65" s="46" t="s">
        <v>38</v>
      </c>
    </row>
    <row r="66" spans="2:7" ht="15" thickBot="1" x14ac:dyDescent="0.25">
      <c r="B66" s="163"/>
      <c r="C66" s="41" t="s">
        <v>13</v>
      </c>
      <c r="D66" s="42" t="s">
        <v>14</v>
      </c>
      <c r="E66" s="42" t="s">
        <v>35</v>
      </c>
      <c r="F66" s="42" t="s">
        <v>36</v>
      </c>
      <c r="G66" s="43" t="s">
        <v>37</v>
      </c>
    </row>
    <row r="67" spans="2:7" ht="15" x14ac:dyDescent="0.25">
      <c r="B67" s="19">
        <v>1</v>
      </c>
      <c r="C67" s="20">
        <f>+C64</f>
        <v>8.3333333333333329E-2</v>
      </c>
      <c r="D67" s="21">
        <f>+C67*60</f>
        <v>5</v>
      </c>
      <c r="E67" s="22">
        <f>+G67/C67</f>
        <v>102.05239033943653</v>
      </c>
      <c r="F67" s="52">
        <f>0.32/2</f>
        <v>0.16</v>
      </c>
      <c r="G67" s="47">
        <f>+$F$62*F67</f>
        <v>8.5043658616197106</v>
      </c>
    </row>
    <row r="68" spans="2:7" ht="15" x14ac:dyDescent="0.25">
      <c r="B68" s="23">
        <f>+B67+1</f>
        <v>2</v>
      </c>
      <c r="C68" s="24">
        <f>+C67+$C$64</f>
        <v>0.16666666666666666</v>
      </c>
      <c r="D68" s="25">
        <f t="shared" ref="D68:D72" si="17">+C68*60</f>
        <v>10</v>
      </c>
      <c r="E68" s="26">
        <f t="shared" ref="E68:E72" si="18">+G68/C68</f>
        <v>51.026195169718264</v>
      </c>
      <c r="F68" s="53">
        <f>+F67</f>
        <v>0.16</v>
      </c>
      <c r="G68" s="48">
        <f t="shared" ref="G68:G72" si="19">+$F$62*F68</f>
        <v>8.5043658616197106</v>
      </c>
    </row>
    <row r="69" spans="2:7" ht="15" x14ac:dyDescent="0.25">
      <c r="B69" s="27">
        <f t="shared" ref="B69:B72" si="20">+B68+1</f>
        <v>3</v>
      </c>
      <c r="C69" s="28">
        <f t="shared" ref="C69:C72" si="21">+C68+$C$64</f>
        <v>0.25</v>
      </c>
      <c r="D69" s="29">
        <f t="shared" si="17"/>
        <v>15</v>
      </c>
      <c r="E69" s="30">
        <f t="shared" si="18"/>
        <v>53.15228663512319</v>
      </c>
      <c r="F69" s="54">
        <f>0.5/2</f>
        <v>0.25</v>
      </c>
      <c r="G69" s="49">
        <f t="shared" si="19"/>
        <v>13.288071658780797</v>
      </c>
    </row>
    <row r="70" spans="2:7" ht="15" x14ac:dyDescent="0.25">
      <c r="B70" s="27">
        <f t="shared" si="20"/>
        <v>4</v>
      </c>
      <c r="C70" s="28">
        <f t="shared" si="21"/>
        <v>0.33333333333333331</v>
      </c>
      <c r="D70" s="29">
        <f t="shared" si="17"/>
        <v>20</v>
      </c>
      <c r="E70" s="30">
        <f t="shared" si="18"/>
        <v>39.864214976342396</v>
      </c>
      <c r="F70" s="54">
        <f>+F69</f>
        <v>0.25</v>
      </c>
      <c r="G70" s="49">
        <f>+$F$62*F70</f>
        <v>13.288071658780797</v>
      </c>
    </row>
    <row r="71" spans="2:7" ht="15" x14ac:dyDescent="0.25">
      <c r="B71" s="27">
        <f t="shared" si="20"/>
        <v>5</v>
      </c>
      <c r="C71" s="28">
        <f t="shared" si="21"/>
        <v>0.41666666666666663</v>
      </c>
      <c r="D71" s="29">
        <f t="shared" si="17"/>
        <v>24.999999999999996</v>
      </c>
      <c r="E71" s="30">
        <f t="shared" si="18"/>
        <v>11.480893913186609</v>
      </c>
      <c r="F71" s="54">
        <f>0.18/2</f>
        <v>0.09</v>
      </c>
      <c r="G71" s="49">
        <f t="shared" si="19"/>
        <v>4.7837057971610868</v>
      </c>
    </row>
    <row r="72" spans="2:7" ht="15.75" thickBot="1" x14ac:dyDescent="0.3">
      <c r="B72" s="31">
        <f t="shared" si="20"/>
        <v>6</v>
      </c>
      <c r="C72" s="32">
        <f t="shared" si="21"/>
        <v>0.49999999999999994</v>
      </c>
      <c r="D72" s="33">
        <f t="shared" si="17"/>
        <v>29.999999999999996</v>
      </c>
      <c r="E72" s="34">
        <f t="shared" si="18"/>
        <v>9.5674115943221754</v>
      </c>
      <c r="F72" s="56">
        <f>+F71</f>
        <v>0.09</v>
      </c>
      <c r="G72" s="51">
        <f t="shared" si="19"/>
        <v>4.7837057971610868</v>
      </c>
    </row>
    <row r="73" spans="2:7" x14ac:dyDescent="0.2">
      <c r="E73" s="7" t="s">
        <v>9</v>
      </c>
      <c r="F73" s="35">
        <f>+SUM(F67:F72)</f>
        <v>1</v>
      </c>
      <c r="G73" s="8">
        <f>+SUM(G67:G72)</f>
        <v>53.15228663512319</v>
      </c>
    </row>
  </sheetData>
  <mergeCells count="4">
    <mergeCell ref="B7:B8"/>
    <mergeCell ref="B27:B28"/>
    <mergeCell ref="B47:B48"/>
    <mergeCell ref="B65:B6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73"/>
  <sheetViews>
    <sheetView showGridLines="0" topLeftCell="A16" zoomScale="80" zoomScaleNormal="80" workbookViewId="0">
      <selection activeCell="K89" sqref="K89"/>
    </sheetView>
  </sheetViews>
  <sheetFormatPr baseColWidth="10" defaultRowHeight="14.25" x14ac:dyDescent="0.2"/>
  <cols>
    <col min="1" max="16384" width="11.42578125" style="6"/>
  </cols>
  <sheetData>
    <row r="1" spans="2:7" ht="15" x14ac:dyDescent="0.25">
      <c r="B1" s="5" t="s">
        <v>24</v>
      </c>
      <c r="E1" s="11" t="s">
        <v>25</v>
      </c>
    </row>
    <row r="3" spans="2:7" x14ac:dyDescent="0.2">
      <c r="B3" s="6" t="s">
        <v>39</v>
      </c>
      <c r="C3" s="15">
        <v>50</v>
      </c>
      <c r="D3" s="6" t="s">
        <v>42</v>
      </c>
      <c r="E3" s="6" t="s">
        <v>27</v>
      </c>
      <c r="F3" s="17">
        <f>+(601*C3^0.23)/((C5+6)^0.69)</f>
        <v>40.148899123324178</v>
      </c>
      <c r="G3" s="6" t="s">
        <v>35</v>
      </c>
    </row>
    <row r="4" spans="2:7" x14ac:dyDescent="0.2">
      <c r="B4" s="6" t="s">
        <v>33</v>
      </c>
      <c r="C4" s="36">
        <v>3</v>
      </c>
      <c r="D4" s="6" t="s">
        <v>13</v>
      </c>
      <c r="E4" s="6" t="s">
        <v>26</v>
      </c>
      <c r="F4" s="9">
        <f>+F3*C4</f>
        <v>120.44669736997253</v>
      </c>
      <c r="G4" s="6" t="s">
        <v>37</v>
      </c>
    </row>
    <row r="5" spans="2:7" x14ac:dyDescent="0.2">
      <c r="C5" s="16">
        <f>+C4*60</f>
        <v>180</v>
      </c>
      <c r="D5" s="6" t="s">
        <v>14</v>
      </c>
    </row>
    <row r="6" spans="2:7" ht="15" thickBot="1" x14ac:dyDescent="0.25">
      <c r="B6" s="6" t="s">
        <v>28</v>
      </c>
      <c r="C6" s="18">
        <f>+C4/B20</f>
        <v>0.25</v>
      </c>
      <c r="D6" s="6" t="s">
        <v>13</v>
      </c>
    </row>
    <row r="7" spans="2:7" ht="15" x14ac:dyDescent="0.2">
      <c r="B7" s="162" t="s">
        <v>29</v>
      </c>
      <c r="C7" s="44" t="s">
        <v>30</v>
      </c>
      <c r="D7" s="45" t="s">
        <v>30</v>
      </c>
      <c r="E7" s="44" t="s">
        <v>31</v>
      </c>
      <c r="F7" s="44" t="s">
        <v>38</v>
      </c>
      <c r="G7" s="46" t="s">
        <v>38</v>
      </c>
    </row>
    <row r="8" spans="2:7" ht="15" thickBot="1" x14ac:dyDescent="0.25">
      <c r="B8" s="163"/>
      <c r="C8" s="41" t="s">
        <v>13</v>
      </c>
      <c r="D8" s="42" t="s">
        <v>14</v>
      </c>
      <c r="E8" s="42" t="s">
        <v>35</v>
      </c>
      <c r="F8" s="42" t="s">
        <v>36</v>
      </c>
      <c r="G8" s="43" t="s">
        <v>37</v>
      </c>
    </row>
    <row r="9" spans="2:7" ht="15" x14ac:dyDescent="0.25">
      <c r="B9" s="19">
        <v>1</v>
      </c>
      <c r="C9" s="20">
        <f>+C6</f>
        <v>0.25</v>
      </c>
      <c r="D9" s="21">
        <f>+C9*60</f>
        <v>15</v>
      </c>
      <c r="E9" s="22">
        <f>+G9/C9</f>
        <v>125.26456526477143</v>
      </c>
      <c r="F9" s="52">
        <f>0.52/2</f>
        <v>0.26</v>
      </c>
      <c r="G9" s="47">
        <f t="shared" ref="G9:G20" si="0">+$F$4*F9</f>
        <v>31.316141316192859</v>
      </c>
    </row>
    <row r="10" spans="2:7" ht="15" x14ac:dyDescent="0.25">
      <c r="B10" s="23">
        <f>+B9+1</f>
        <v>2</v>
      </c>
      <c r="C10" s="24">
        <f t="shared" ref="C10:C20" si="1">+C9+$C$6</f>
        <v>0.5</v>
      </c>
      <c r="D10" s="25">
        <f t="shared" ref="D10:D20" si="2">+C10*60</f>
        <v>30</v>
      </c>
      <c r="E10" s="26">
        <f t="shared" ref="E10:E20" si="3">+G10/C10</f>
        <v>62.632282632385717</v>
      </c>
      <c r="F10" s="53">
        <f>+F9</f>
        <v>0.26</v>
      </c>
      <c r="G10" s="48">
        <f t="shared" si="0"/>
        <v>31.316141316192859</v>
      </c>
    </row>
    <row r="11" spans="2:7" ht="15" x14ac:dyDescent="0.25">
      <c r="B11" s="27">
        <f t="shared" ref="B11:B20" si="4">+B10+1</f>
        <v>3</v>
      </c>
      <c r="C11" s="28">
        <f t="shared" si="1"/>
        <v>0.75</v>
      </c>
      <c r="D11" s="29">
        <f t="shared" si="2"/>
        <v>45</v>
      </c>
      <c r="E11" s="30">
        <f t="shared" si="3"/>
        <v>18.468493596729122</v>
      </c>
      <c r="F11" s="54">
        <f>0.23/2</f>
        <v>0.115</v>
      </c>
      <c r="G11" s="49">
        <f t="shared" si="0"/>
        <v>13.85137019754684</v>
      </c>
    </row>
    <row r="12" spans="2:7" ht="15" x14ac:dyDescent="0.25">
      <c r="B12" s="27">
        <f t="shared" si="4"/>
        <v>4</v>
      </c>
      <c r="C12" s="28">
        <f t="shared" si="1"/>
        <v>1</v>
      </c>
      <c r="D12" s="29">
        <f t="shared" si="2"/>
        <v>60</v>
      </c>
      <c r="E12" s="30">
        <f t="shared" si="3"/>
        <v>13.85137019754684</v>
      </c>
      <c r="F12" s="54">
        <f>+F11</f>
        <v>0.115</v>
      </c>
      <c r="G12" s="49">
        <f t="shared" si="0"/>
        <v>13.85137019754684</v>
      </c>
    </row>
    <row r="13" spans="2:7" ht="15" x14ac:dyDescent="0.25">
      <c r="B13" s="27">
        <f t="shared" si="4"/>
        <v>5</v>
      </c>
      <c r="C13" s="28">
        <f t="shared" si="1"/>
        <v>1.25</v>
      </c>
      <c r="D13" s="29">
        <f t="shared" si="2"/>
        <v>75</v>
      </c>
      <c r="E13" s="30">
        <f t="shared" si="3"/>
        <v>5.7814414737586812</v>
      </c>
      <c r="F13" s="54">
        <f>0.12/2</f>
        <v>0.06</v>
      </c>
      <c r="G13" s="49">
        <f t="shared" si="0"/>
        <v>7.2268018421983511</v>
      </c>
    </row>
    <row r="14" spans="2:7" ht="15" x14ac:dyDescent="0.25">
      <c r="B14" s="27">
        <f t="shared" si="4"/>
        <v>6</v>
      </c>
      <c r="C14" s="28">
        <f t="shared" si="1"/>
        <v>1.5</v>
      </c>
      <c r="D14" s="29">
        <f t="shared" si="2"/>
        <v>90</v>
      </c>
      <c r="E14" s="30">
        <f t="shared" si="3"/>
        <v>4.8178678947989004</v>
      </c>
      <c r="F14" s="54">
        <f>+F13</f>
        <v>0.06</v>
      </c>
      <c r="G14" s="49">
        <f t="shared" si="0"/>
        <v>7.2268018421983511</v>
      </c>
    </row>
    <row r="15" spans="2:7" ht="15" x14ac:dyDescent="0.25">
      <c r="B15" s="27">
        <f t="shared" si="4"/>
        <v>7</v>
      </c>
      <c r="C15" s="28">
        <f t="shared" si="1"/>
        <v>1.75</v>
      </c>
      <c r="D15" s="29">
        <f t="shared" si="2"/>
        <v>105</v>
      </c>
      <c r="E15" s="30">
        <f t="shared" si="3"/>
        <v>2.4089339473994507</v>
      </c>
      <c r="F15" s="54">
        <f>0.07/2</f>
        <v>3.5000000000000003E-2</v>
      </c>
      <c r="G15" s="49">
        <f t="shared" si="0"/>
        <v>4.2156344079490387</v>
      </c>
    </row>
    <row r="16" spans="2:7" ht="15" x14ac:dyDescent="0.25">
      <c r="B16" s="27">
        <f t="shared" si="4"/>
        <v>8</v>
      </c>
      <c r="C16" s="28">
        <f t="shared" si="1"/>
        <v>2</v>
      </c>
      <c r="D16" s="29">
        <f t="shared" si="2"/>
        <v>120</v>
      </c>
      <c r="E16" s="30">
        <f t="shared" si="3"/>
        <v>2.1078172039745193</v>
      </c>
      <c r="F16" s="54">
        <f>+F15</f>
        <v>3.5000000000000003E-2</v>
      </c>
      <c r="G16" s="49">
        <f t="shared" si="0"/>
        <v>4.2156344079490387</v>
      </c>
    </row>
    <row r="17" spans="2:7" ht="15" x14ac:dyDescent="0.25">
      <c r="B17" s="27">
        <f t="shared" si="4"/>
        <v>9</v>
      </c>
      <c r="C17" s="28">
        <f t="shared" si="1"/>
        <v>2.25</v>
      </c>
      <c r="D17" s="29">
        <f t="shared" si="2"/>
        <v>135</v>
      </c>
      <c r="E17" s="30">
        <f t="shared" si="3"/>
        <v>1.0706373099553115</v>
      </c>
      <c r="F17" s="54">
        <f>0.04/2</f>
        <v>0.02</v>
      </c>
      <c r="G17" s="49">
        <f t="shared" si="0"/>
        <v>2.4089339473994507</v>
      </c>
    </row>
    <row r="18" spans="2:7" ht="15" x14ac:dyDescent="0.25">
      <c r="B18" s="37">
        <f t="shared" si="4"/>
        <v>10</v>
      </c>
      <c r="C18" s="38">
        <f t="shared" si="1"/>
        <v>2.5</v>
      </c>
      <c r="D18" s="39">
        <f t="shared" si="2"/>
        <v>150</v>
      </c>
      <c r="E18" s="40">
        <f t="shared" si="3"/>
        <v>0.96357357895978024</v>
      </c>
      <c r="F18" s="54">
        <f>+F17</f>
        <v>0.02</v>
      </c>
      <c r="G18" s="50">
        <f t="shared" si="0"/>
        <v>2.4089339473994507</v>
      </c>
    </row>
    <row r="19" spans="2:7" ht="15" x14ac:dyDescent="0.25">
      <c r="B19" s="37">
        <f t="shared" si="4"/>
        <v>11</v>
      </c>
      <c r="C19" s="38">
        <f t="shared" si="1"/>
        <v>2.75</v>
      </c>
      <c r="D19" s="39">
        <f t="shared" si="2"/>
        <v>165</v>
      </c>
      <c r="E19" s="40">
        <f t="shared" si="3"/>
        <v>0.43798799043626374</v>
      </c>
      <c r="F19" s="55">
        <f>0.02/2</f>
        <v>0.01</v>
      </c>
      <c r="G19" s="50">
        <f t="shared" si="0"/>
        <v>1.2044669736997253</v>
      </c>
    </row>
    <row r="20" spans="2:7" ht="15.75" thickBot="1" x14ac:dyDescent="0.3">
      <c r="B20" s="31">
        <f t="shared" si="4"/>
        <v>12</v>
      </c>
      <c r="C20" s="32">
        <f t="shared" si="1"/>
        <v>3</v>
      </c>
      <c r="D20" s="33">
        <f t="shared" si="2"/>
        <v>180</v>
      </c>
      <c r="E20" s="34">
        <f t="shared" si="3"/>
        <v>0.40148899123324178</v>
      </c>
      <c r="F20" s="56">
        <f>+F19</f>
        <v>0.01</v>
      </c>
      <c r="G20" s="51">
        <f t="shared" si="0"/>
        <v>1.2044669736997253</v>
      </c>
    </row>
    <row r="21" spans="2:7" x14ac:dyDescent="0.2">
      <c r="E21" s="7" t="s">
        <v>9</v>
      </c>
      <c r="F21" s="35">
        <f>+SUM(F9:F20)</f>
        <v>1.0000000000000002</v>
      </c>
      <c r="G21" s="8">
        <f>+SUM(G9:G20)</f>
        <v>120.44669736997253</v>
      </c>
    </row>
    <row r="23" spans="2:7" x14ac:dyDescent="0.2">
      <c r="B23" s="6" t="s">
        <v>39</v>
      </c>
      <c r="C23" s="15">
        <v>50</v>
      </c>
      <c r="D23" s="6" t="s">
        <v>42</v>
      </c>
      <c r="E23" s="6" t="s">
        <v>27</v>
      </c>
      <c r="F23" s="17">
        <f>+(601*C23^0.23)/((C25+6)^0.69)</f>
        <v>52.526915267444764</v>
      </c>
      <c r="G23" s="6" t="s">
        <v>35</v>
      </c>
    </row>
    <row r="24" spans="2:7" x14ac:dyDescent="0.2">
      <c r="B24" s="6" t="s">
        <v>33</v>
      </c>
      <c r="C24" s="36">
        <v>2</v>
      </c>
      <c r="D24" s="6" t="s">
        <v>13</v>
      </c>
      <c r="E24" s="6" t="s">
        <v>26</v>
      </c>
      <c r="F24" s="9">
        <f>+F23*C24</f>
        <v>105.05383053488953</v>
      </c>
      <c r="G24" s="6" t="s">
        <v>37</v>
      </c>
    </row>
    <row r="25" spans="2:7" x14ac:dyDescent="0.2">
      <c r="C25" s="16">
        <f>+C24*60</f>
        <v>120</v>
      </c>
      <c r="D25" s="6" t="s">
        <v>14</v>
      </c>
    </row>
    <row r="26" spans="2:7" ht="15" thickBot="1" x14ac:dyDescent="0.25">
      <c r="B26" s="6" t="s">
        <v>28</v>
      </c>
      <c r="C26" s="18">
        <f>+C24/B40</f>
        <v>0.16666666666666666</v>
      </c>
      <c r="D26" s="6" t="s">
        <v>13</v>
      </c>
    </row>
    <row r="27" spans="2:7" ht="15" x14ac:dyDescent="0.2">
      <c r="B27" s="162" t="s">
        <v>29</v>
      </c>
      <c r="C27" s="44" t="s">
        <v>30</v>
      </c>
      <c r="D27" s="45" t="s">
        <v>30</v>
      </c>
      <c r="E27" s="44" t="s">
        <v>31</v>
      </c>
      <c r="F27" s="44" t="s">
        <v>38</v>
      </c>
      <c r="G27" s="46" t="s">
        <v>38</v>
      </c>
    </row>
    <row r="28" spans="2:7" ht="15" thickBot="1" x14ac:dyDescent="0.25">
      <c r="B28" s="163"/>
      <c r="C28" s="41" t="s">
        <v>13</v>
      </c>
      <c r="D28" s="42" t="s">
        <v>14</v>
      </c>
      <c r="E28" s="42" t="s">
        <v>35</v>
      </c>
      <c r="F28" s="42" t="s">
        <v>36</v>
      </c>
      <c r="G28" s="43" t="s">
        <v>37</v>
      </c>
    </row>
    <row r="29" spans="2:7" ht="15" x14ac:dyDescent="0.25">
      <c r="B29" s="19">
        <v>1</v>
      </c>
      <c r="C29" s="20">
        <f>+C26</f>
        <v>0.16666666666666666</v>
      </c>
      <c r="D29" s="21">
        <f>+C29*60</f>
        <v>10</v>
      </c>
      <c r="E29" s="22">
        <f>+G29/C29</f>
        <v>78.790372901167146</v>
      </c>
      <c r="F29" s="52">
        <f>0.25/2</f>
        <v>0.125</v>
      </c>
      <c r="G29" s="47">
        <f>+$F$24*F29</f>
        <v>13.131728816861191</v>
      </c>
    </row>
    <row r="30" spans="2:7" ht="15" x14ac:dyDescent="0.25">
      <c r="B30" s="23">
        <f>+B29+1</f>
        <v>2</v>
      </c>
      <c r="C30" s="24">
        <f>+C29+$C$26</f>
        <v>0.33333333333333331</v>
      </c>
      <c r="D30" s="25">
        <f t="shared" ref="D30:D40" si="5">+C30*60</f>
        <v>20</v>
      </c>
      <c r="E30" s="26">
        <f t="shared" ref="E30:E40" si="6">+G30/C30</f>
        <v>39.395186450583573</v>
      </c>
      <c r="F30" s="53">
        <f>+F29</f>
        <v>0.125</v>
      </c>
      <c r="G30" s="48">
        <f t="shared" ref="G30:G39" si="7">+$F$24*F30</f>
        <v>13.131728816861191</v>
      </c>
    </row>
    <row r="31" spans="2:7" ht="15" x14ac:dyDescent="0.25">
      <c r="B31" s="27">
        <f t="shared" ref="B31:B40" si="8">+B30+1</f>
        <v>3</v>
      </c>
      <c r="C31" s="28">
        <f t="shared" ref="C31:C40" si="9">+C30+$C$26</f>
        <v>0.5</v>
      </c>
      <c r="D31" s="29">
        <f t="shared" si="5"/>
        <v>30</v>
      </c>
      <c r="E31" s="30">
        <f t="shared" si="6"/>
        <v>55.678530183491453</v>
      </c>
      <c r="F31" s="54">
        <f>0.53/2</f>
        <v>0.26500000000000001</v>
      </c>
      <c r="G31" s="49">
        <f t="shared" si="7"/>
        <v>27.839265091745727</v>
      </c>
    </row>
    <row r="32" spans="2:7" ht="15" x14ac:dyDescent="0.25">
      <c r="B32" s="27">
        <f t="shared" si="8"/>
        <v>4</v>
      </c>
      <c r="C32" s="28">
        <f t="shared" si="9"/>
        <v>0.66666666666666663</v>
      </c>
      <c r="D32" s="29">
        <f t="shared" si="5"/>
        <v>40</v>
      </c>
      <c r="E32" s="30">
        <f t="shared" si="6"/>
        <v>41.758897637618595</v>
      </c>
      <c r="F32" s="54">
        <f>+F31</f>
        <v>0.26500000000000001</v>
      </c>
      <c r="G32" s="49">
        <f t="shared" si="7"/>
        <v>27.839265091745727</v>
      </c>
    </row>
    <row r="33" spans="2:7" ht="15" x14ac:dyDescent="0.25">
      <c r="B33" s="27">
        <f t="shared" si="8"/>
        <v>5</v>
      </c>
      <c r="C33" s="28">
        <f t="shared" si="9"/>
        <v>0.83333333333333326</v>
      </c>
      <c r="D33" s="29">
        <f t="shared" si="5"/>
        <v>49.999999999999993</v>
      </c>
      <c r="E33" s="30">
        <f t="shared" si="6"/>
        <v>6.9335528153027095</v>
      </c>
      <c r="F33" s="54">
        <f>0.11/2</f>
        <v>5.5E-2</v>
      </c>
      <c r="G33" s="49">
        <f t="shared" si="7"/>
        <v>5.777960679418924</v>
      </c>
    </row>
    <row r="34" spans="2:7" ht="15" x14ac:dyDescent="0.25">
      <c r="B34" s="27">
        <f t="shared" si="8"/>
        <v>6</v>
      </c>
      <c r="C34" s="28">
        <f t="shared" si="9"/>
        <v>0.99999999999999989</v>
      </c>
      <c r="D34" s="29">
        <f t="shared" si="5"/>
        <v>59.999999999999993</v>
      </c>
      <c r="E34" s="30">
        <f t="shared" si="6"/>
        <v>5.7779606794189249</v>
      </c>
      <c r="F34" s="54">
        <f>+F33</f>
        <v>5.5E-2</v>
      </c>
      <c r="G34" s="49">
        <f t="shared" si="7"/>
        <v>5.777960679418924</v>
      </c>
    </row>
    <row r="35" spans="2:7" ht="15" x14ac:dyDescent="0.25">
      <c r="B35" s="27">
        <f t="shared" si="8"/>
        <v>7</v>
      </c>
      <c r="C35" s="28">
        <f t="shared" si="9"/>
        <v>1.1666666666666665</v>
      </c>
      <c r="D35" s="29">
        <f t="shared" si="5"/>
        <v>69.999999999999986</v>
      </c>
      <c r="E35" s="30">
        <f t="shared" si="6"/>
        <v>2.7013842137543023</v>
      </c>
      <c r="F35" s="54">
        <f>0.06/2</f>
        <v>0.03</v>
      </c>
      <c r="G35" s="49">
        <f t="shared" si="7"/>
        <v>3.1516149160466855</v>
      </c>
    </row>
    <row r="36" spans="2:7" ht="15" x14ac:dyDescent="0.25">
      <c r="B36" s="27">
        <f t="shared" si="8"/>
        <v>8</v>
      </c>
      <c r="C36" s="28">
        <f t="shared" si="9"/>
        <v>1.3333333333333333</v>
      </c>
      <c r="D36" s="29">
        <f t="shared" si="5"/>
        <v>80</v>
      </c>
      <c r="E36" s="30">
        <f t="shared" si="6"/>
        <v>2.3637111870350145</v>
      </c>
      <c r="F36" s="54">
        <f>+F35</f>
        <v>0.03</v>
      </c>
      <c r="G36" s="49">
        <f t="shared" si="7"/>
        <v>3.1516149160466855</v>
      </c>
    </row>
    <row r="37" spans="2:7" ht="15" x14ac:dyDescent="0.25">
      <c r="B37" s="27">
        <f t="shared" si="8"/>
        <v>9</v>
      </c>
      <c r="C37" s="28">
        <f t="shared" si="9"/>
        <v>1.5</v>
      </c>
      <c r="D37" s="29">
        <f t="shared" si="5"/>
        <v>90</v>
      </c>
      <c r="E37" s="30">
        <f t="shared" si="6"/>
        <v>1.0505383053488953</v>
      </c>
      <c r="F37" s="54">
        <f>0.03/2</f>
        <v>1.4999999999999999E-2</v>
      </c>
      <c r="G37" s="49">
        <f t="shared" si="7"/>
        <v>1.5758074580233428</v>
      </c>
    </row>
    <row r="38" spans="2:7" ht="15" x14ac:dyDescent="0.25">
      <c r="B38" s="37">
        <f t="shared" si="8"/>
        <v>10</v>
      </c>
      <c r="C38" s="38">
        <f t="shared" si="9"/>
        <v>1.6666666666666667</v>
      </c>
      <c r="D38" s="39">
        <f t="shared" si="5"/>
        <v>100</v>
      </c>
      <c r="E38" s="40">
        <f t="shared" si="6"/>
        <v>0.94548447481400566</v>
      </c>
      <c r="F38" s="54">
        <f>+F37</f>
        <v>1.4999999999999999E-2</v>
      </c>
      <c r="G38" s="50">
        <f t="shared" si="7"/>
        <v>1.5758074580233428</v>
      </c>
    </row>
    <row r="39" spans="2:7" ht="15" x14ac:dyDescent="0.25">
      <c r="B39" s="37">
        <f t="shared" si="8"/>
        <v>11</v>
      </c>
      <c r="C39" s="38">
        <f t="shared" si="9"/>
        <v>1.8333333333333335</v>
      </c>
      <c r="D39" s="39">
        <f t="shared" si="5"/>
        <v>110.00000000000001</v>
      </c>
      <c r="E39" s="40">
        <f t="shared" si="6"/>
        <v>0.5730208938266701</v>
      </c>
      <c r="F39" s="55">
        <f>0.02/2</f>
        <v>0.01</v>
      </c>
      <c r="G39" s="50">
        <f t="shared" si="7"/>
        <v>1.0505383053488953</v>
      </c>
    </row>
    <row r="40" spans="2:7" ht="15.75" thickBot="1" x14ac:dyDescent="0.3">
      <c r="B40" s="31">
        <f t="shared" si="8"/>
        <v>12</v>
      </c>
      <c r="C40" s="32">
        <f t="shared" si="9"/>
        <v>2</v>
      </c>
      <c r="D40" s="33">
        <f t="shared" si="5"/>
        <v>120</v>
      </c>
      <c r="E40" s="34">
        <f t="shared" si="6"/>
        <v>0.52526915267444763</v>
      </c>
      <c r="F40" s="56">
        <f>+F39</f>
        <v>0.01</v>
      </c>
      <c r="G40" s="51">
        <f>+$F$24*F40</f>
        <v>1.0505383053488953</v>
      </c>
    </row>
    <row r="41" spans="2:7" x14ac:dyDescent="0.2">
      <c r="E41" s="7" t="s">
        <v>9</v>
      </c>
      <c r="F41" s="35">
        <f>+SUM(F29:F40)</f>
        <v>1.0000000000000002</v>
      </c>
      <c r="G41" s="8">
        <f>+SUM(G29:G40)</f>
        <v>105.05383053488954</v>
      </c>
    </row>
    <row r="43" spans="2:7" x14ac:dyDescent="0.2">
      <c r="B43" s="6" t="s">
        <v>39</v>
      </c>
      <c r="C43" s="15">
        <v>50</v>
      </c>
      <c r="D43" s="6" t="s">
        <v>42</v>
      </c>
      <c r="E43" s="6" t="s">
        <v>27</v>
      </c>
      <c r="F43" s="17">
        <f>+(601*C43^0.23)/((C45+6)^0.69)</f>
        <v>82.06391983487994</v>
      </c>
      <c r="G43" s="6" t="s">
        <v>35</v>
      </c>
    </row>
    <row r="44" spans="2:7" x14ac:dyDescent="0.2">
      <c r="B44" s="6" t="s">
        <v>33</v>
      </c>
      <c r="C44" s="36">
        <v>1</v>
      </c>
      <c r="D44" s="6" t="s">
        <v>13</v>
      </c>
      <c r="E44" s="6" t="s">
        <v>26</v>
      </c>
      <c r="F44" s="9">
        <f>+F43*C44</f>
        <v>82.06391983487994</v>
      </c>
      <c r="G44" s="6" t="s">
        <v>37</v>
      </c>
    </row>
    <row r="45" spans="2:7" x14ac:dyDescent="0.2">
      <c r="C45" s="16">
        <f>+C44*60</f>
        <v>60</v>
      </c>
      <c r="D45" s="6" t="s">
        <v>14</v>
      </c>
    </row>
    <row r="46" spans="2:7" ht="15" thickBot="1" x14ac:dyDescent="0.25">
      <c r="B46" s="6" t="s">
        <v>28</v>
      </c>
      <c r="C46" s="18">
        <f>+C44/B58</f>
        <v>0.1</v>
      </c>
      <c r="D46" s="6" t="s">
        <v>13</v>
      </c>
    </row>
    <row r="47" spans="2:7" ht="15" x14ac:dyDescent="0.2">
      <c r="B47" s="162" t="s">
        <v>29</v>
      </c>
      <c r="C47" s="44" t="s">
        <v>30</v>
      </c>
      <c r="D47" s="45" t="s">
        <v>30</v>
      </c>
      <c r="E47" s="44" t="s">
        <v>31</v>
      </c>
      <c r="F47" s="44" t="s">
        <v>38</v>
      </c>
      <c r="G47" s="46" t="s">
        <v>38</v>
      </c>
    </row>
    <row r="48" spans="2:7" ht="15" thickBot="1" x14ac:dyDescent="0.25">
      <c r="B48" s="163"/>
      <c r="C48" s="41" t="s">
        <v>13</v>
      </c>
      <c r="D48" s="42" t="s">
        <v>14</v>
      </c>
      <c r="E48" s="42" t="s">
        <v>35</v>
      </c>
      <c r="F48" s="42" t="s">
        <v>36</v>
      </c>
      <c r="G48" s="43" t="s">
        <v>37</v>
      </c>
    </row>
    <row r="49" spans="2:7" ht="15" x14ac:dyDescent="0.25">
      <c r="B49" s="19">
        <v>1</v>
      </c>
      <c r="C49" s="20">
        <f>+C46</f>
        <v>0.1</v>
      </c>
      <c r="D49" s="21">
        <f>+C49*60</f>
        <v>6</v>
      </c>
      <c r="E49" s="22">
        <f>+G49/C49</f>
        <v>106.68309578534392</v>
      </c>
      <c r="F49" s="52">
        <f>0.26/2</f>
        <v>0.13</v>
      </c>
      <c r="G49" s="47">
        <f>+$F$44*F49</f>
        <v>10.668309578534393</v>
      </c>
    </row>
    <row r="50" spans="2:7" ht="15" x14ac:dyDescent="0.25">
      <c r="B50" s="23">
        <f>+B49+1</f>
        <v>2</v>
      </c>
      <c r="C50" s="24">
        <f>+C49+$C$46</f>
        <v>0.2</v>
      </c>
      <c r="D50" s="25">
        <f t="shared" ref="D50:D56" si="10">+C50*60</f>
        <v>12</v>
      </c>
      <c r="E50" s="26">
        <f t="shared" ref="E50:E56" si="11">+G50/C50</f>
        <v>53.341547892671962</v>
      </c>
      <c r="F50" s="53">
        <f>+F49</f>
        <v>0.13</v>
      </c>
      <c r="G50" s="48">
        <f t="shared" ref="G50:G56" si="12">+$F$44*F50</f>
        <v>10.668309578534393</v>
      </c>
    </row>
    <row r="51" spans="2:7" ht="15" x14ac:dyDescent="0.25">
      <c r="B51" s="27">
        <f t="shared" ref="B51:B58" si="13">+B50+1</f>
        <v>3</v>
      </c>
      <c r="C51" s="28">
        <f t="shared" ref="C51:C58" si="14">+C50+$C$46</f>
        <v>0.30000000000000004</v>
      </c>
      <c r="D51" s="29">
        <f t="shared" si="10"/>
        <v>18.000000000000004</v>
      </c>
      <c r="E51" s="30">
        <f t="shared" si="11"/>
        <v>69.754331859647934</v>
      </c>
      <c r="F51" s="54">
        <f>0.51/2</f>
        <v>0.255</v>
      </c>
      <c r="G51" s="49">
        <f t="shared" si="12"/>
        <v>20.926299557894385</v>
      </c>
    </row>
    <row r="52" spans="2:7" ht="15" x14ac:dyDescent="0.25">
      <c r="B52" s="27">
        <f t="shared" si="13"/>
        <v>4</v>
      </c>
      <c r="C52" s="28">
        <f t="shared" si="14"/>
        <v>0.4</v>
      </c>
      <c r="D52" s="29">
        <f t="shared" si="10"/>
        <v>24</v>
      </c>
      <c r="E52" s="30">
        <f t="shared" si="11"/>
        <v>52.315748894735961</v>
      </c>
      <c r="F52" s="54">
        <f>+F51</f>
        <v>0.255</v>
      </c>
      <c r="G52" s="49">
        <f t="shared" si="12"/>
        <v>20.926299557894385</v>
      </c>
    </row>
    <row r="53" spans="2:7" ht="15" x14ac:dyDescent="0.25">
      <c r="B53" s="27">
        <f t="shared" si="13"/>
        <v>5</v>
      </c>
      <c r="C53" s="28">
        <f t="shared" si="14"/>
        <v>0.5</v>
      </c>
      <c r="D53" s="29">
        <f t="shared" si="10"/>
        <v>30</v>
      </c>
      <c r="E53" s="30">
        <f t="shared" si="11"/>
        <v>10.668309578534393</v>
      </c>
      <c r="F53" s="54">
        <f>0.13/2</f>
        <v>6.5000000000000002E-2</v>
      </c>
      <c r="G53" s="49">
        <f t="shared" si="12"/>
        <v>5.3341547892671963</v>
      </c>
    </row>
    <row r="54" spans="2:7" ht="15" x14ac:dyDescent="0.25">
      <c r="B54" s="27">
        <f t="shared" si="13"/>
        <v>6</v>
      </c>
      <c r="C54" s="28">
        <f t="shared" si="14"/>
        <v>0.6</v>
      </c>
      <c r="D54" s="29">
        <f t="shared" si="10"/>
        <v>36</v>
      </c>
      <c r="E54" s="30">
        <f t="shared" si="11"/>
        <v>8.8902579821119936</v>
      </c>
      <c r="F54" s="54">
        <f>+F53</f>
        <v>6.5000000000000002E-2</v>
      </c>
      <c r="G54" s="49">
        <f t="shared" si="12"/>
        <v>5.3341547892671963</v>
      </c>
    </row>
    <row r="55" spans="2:7" ht="15" x14ac:dyDescent="0.25">
      <c r="B55" s="27">
        <f t="shared" si="13"/>
        <v>7</v>
      </c>
      <c r="C55" s="28">
        <f t="shared" si="14"/>
        <v>0.7</v>
      </c>
      <c r="D55" s="29">
        <f t="shared" si="10"/>
        <v>42</v>
      </c>
      <c r="E55" s="30">
        <f t="shared" si="11"/>
        <v>4.1031959917439975</v>
      </c>
      <c r="F55" s="54">
        <f>0.07/2</f>
        <v>3.5000000000000003E-2</v>
      </c>
      <c r="G55" s="49">
        <f t="shared" si="12"/>
        <v>2.8722371942207983</v>
      </c>
    </row>
    <row r="56" spans="2:7" ht="15" x14ac:dyDescent="0.25">
      <c r="B56" s="27">
        <f t="shared" si="13"/>
        <v>8</v>
      </c>
      <c r="C56" s="28">
        <f t="shared" si="14"/>
        <v>0.79999999999999993</v>
      </c>
      <c r="D56" s="29">
        <f t="shared" si="10"/>
        <v>47.999999999999993</v>
      </c>
      <c r="E56" s="30">
        <f t="shared" si="11"/>
        <v>3.5902964927759982</v>
      </c>
      <c r="F56" s="54">
        <f>+F55</f>
        <v>3.5000000000000003E-2</v>
      </c>
      <c r="G56" s="49">
        <f t="shared" si="12"/>
        <v>2.8722371942207983</v>
      </c>
    </row>
    <row r="57" spans="2:7" ht="15" x14ac:dyDescent="0.25">
      <c r="B57" s="37">
        <f t="shared" si="13"/>
        <v>9</v>
      </c>
      <c r="C57" s="38">
        <f t="shared" si="14"/>
        <v>0.89999999999999991</v>
      </c>
      <c r="D57" s="39">
        <f>+C57*60</f>
        <v>53.999999999999993</v>
      </c>
      <c r="E57" s="40">
        <f>+G57/C57</f>
        <v>1.3677319972479991</v>
      </c>
      <c r="F57" s="55">
        <v>1.4999999999999999E-2</v>
      </c>
      <c r="G57" s="50">
        <f>+$F$44*F57</f>
        <v>1.230958797523199</v>
      </c>
    </row>
    <row r="58" spans="2:7" ht="15.75" thickBot="1" x14ac:dyDescent="0.3">
      <c r="B58" s="31">
        <f t="shared" si="13"/>
        <v>10</v>
      </c>
      <c r="C58" s="32">
        <f t="shared" si="14"/>
        <v>0.99999999999999989</v>
      </c>
      <c r="D58" s="33">
        <f>+C58*60</f>
        <v>59.999999999999993</v>
      </c>
      <c r="E58" s="34">
        <f>+G58/C58</f>
        <v>1.2309587975231993</v>
      </c>
      <c r="F58" s="56">
        <f>+F57</f>
        <v>1.4999999999999999E-2</v>
      </c>
      <c r="G58" s="51">
        <f>+$F$44*F58</f>
        <v>1.230958797523199</v>
      </c>
    </row>
    <row r="59" spans="2:7" x14ac:dyDescent="0.2">
      <c r="E59" s="7" t="s">
        <v>9</v>
      </c>
      <c r="F59" s="35">
        <f>+SUM(F49:F58)</f>
        <v>1</v>
      </c>
      <c r="G59" s="8">
        <f>+SUM(G49:G58)</f>
        <v>82.063919834879968</v>
      </c>
    </row>
    <row r="61" spans="2:7" x14ac:dyDescent="0.2">
      <c r="B61" s="6" t="s">
        <v>39</v>
      </c>
      <c r="C61" s="15">
        <v>50</v>
      </c>
      <c r="D61" s="6" t="s">
        <v>42</v>
      </c>
      <c r="E61" s="6" t="s">
        <v>27</v>
      </c>
      <c r="F61" s="17">
        <f>+(601*C61^0.23)/((C63+6)^0.69)</f>
        <v>124.67771879452594</v>
      </c>
      <c r="G61" s="6" t="s">
        <v>35</v>
      </c>
    </row>
    <row r="62" spans="2:7" x14ac:dyDescent="0.2">
      <c r="B62" s="6" t="s">
        <v>33</v>
      </c>
      <c r="C62" s="57">
        <v>0.5</v>
      </c>
      <c r="D62" s="6" t="s">
        <v>13</v>
      </c>
      <c r="E62" s="6" t="s">
        <v>26</v>
      </c>
      <c r="F62" s="9">
        <f>+F61*C62</f>
        <v>62.338859397262972</v>
      </c>
      <c r="G62" s="6" t="s">
        <v>37</v>
      </c>
    </row>
    <row r="63" spans="2:7" x14ac:dyDescent="0.2">
      <c r="C63" s="16">
        <f>+C62*60</f>
        <v>30</v>
      </c>
      <c r="D63" s="6" t="s">
        <v>14</v>
      </c>
    </row>
    <row r="64" spans="2:7" ht="15" thickBot="1" x14ac:dyDescent="0.25">
      <c r="B64" s="6" t="s">
        <v>28</v>
      </c>
      <c r="C64" s="18">
        <f>+C62/B72</f>
        <v>8.3333333333333329E-2</v>
      </c>
      <c r="D64" s="6" t="s">
        <v>13</v>
      </c>
    </row>
    <row r="65" spans="2:7" ht="15" x14ac:dyDescent="0.2">
      <c r="B65" s="162" t="s">
        <v>29</v>
      </c>
      <c r="C65" s="44" t="s">
        <v>30</v>
      </c>
      <c r="D65" s="45" t="s">
        <v>30</v>
      </c>
      <c r="E65" s="44" t="s">
        <v>31</v>
      </c>
      <c r="F65" s="44" t="s">
        <v>38</v>
      </c>
      <c r="G65" s="46" t="s">
        <v>38</v>
      </c>
    </row>
    <row r="66" spans="2:7" ht="15" thickBot="1" x14ac:dyDescent="0.25">
      <c r="B66" s="163"/>
      <c r="C66" s="41" t="s">
        <v>13</v>
      </c>
      <c r="D66" s="42" t="s">
        <v>14</v>
      </c>
      <c r="E66" s="42" t="s">
        <v>35</v>
      </c>
      <c r="F66" s="42" t="s">
        <v>36</v>
      </c>
      <c r="G66" s="43" t="s">
        <v>37</v>
      </c>
    </row>
    <row r="67" spans="2:7" ht="15" x14ac:dyDescent="0.25">
      <c r="B67" s="19">
        <v>1</v>
      </c>
      <c r="C67" s="20">
        <f>+C64</f>
        <v>8.3333333333333329E-2</v>
      </c>
      <c r="D67" s="21">
        <f>+C67*60</f>
        <v>5</v>
      </c>
      <c r="E67" s="22">
        <f>+G67/C67</f>
        <v>119.69061004274491</v>
      </c>
      <c r="F67" s="52">
        <f>0.32/2</f>
        <v>0.16</v>
      </c>
      <c r="G67" s="47">
        <f>+$F$62*F67</f>
        <v>9.974217503562075</v>
      </c>
    </row>
    <row r="68" spans="2:7" ht="15" x14ac:dyDescent="0.25">
      <c r="B68" s="23">
        <f>+B67+1</f>
        <v>2</v>
      </c>
      <c r="C68" s="24">
        <f>+C67+$C$64</f>
        <v>0.16666666666666666</v>
      </c>
      <c r="D68" s="25">
        <f t="shared" ref="D68:D72" si="15">+C68*60</f>
        <v>10</v>
      </c>
      <c r="E68" s="26">
        <f t="shared" ref="E68:E72" si="16">+G68/C68</f>
        <v>59.845305021372454</v>
      </c>
      <c r="F68" s="53">
        <f>+F67</f>
        <v>0.16</v>
      </c>
      <c r="G68" s="48">
        <f t="shared" ref="G68:G72" si="17">+$F$62*F68</f>
        <v>9.974217503562075</v>
      </c>
    </row>
    <row r="69" spans="2:7" ht="15" x14ac:dyDescent="0.25">
      <c r="B69" s="27">
        <f t="shared" ref="B69:B72" si="18">+B68+1</f>
        <v>3</v>
      </c>
      <c r="C69" s="28">
        <f t="shared" ref="C69:C72" si="19">+C68+$C$64</f>
        <v>0.25</v>
      </c>
      <c r="D69" s="29">
        <f t="shared" si="15"/>
        <v>15</v>
      </c>
      <c r="E69" s="30">
        <f t="shared" si="16"/>
        <v>62.338859397262972</v>
      </c>
      <c r="F69" s="54">
        <f>0.5/2</f>
        <v>0.25</v>
      </c>
      <c r="G69" s="49">
        <f t="shared" si="17"/>
        <v>15.584714849315743</v>
      </c>
    </row>
    <row r="70" spans="2:7" ht="15" x14ac:dyDescent="0.25">
      <c r="B70" s="27">
        <f t="shared" si="18"/>
        <v>4</v>
      </c>
      <c r="C70" s="28">
        <f t="shared" si="19"/>
        <v>0.33333333333333331</v>
      </c>
      <c r="D70" s="29">
        <f t="shared" si="15"/>
        <v>20</v>
      </c>
      <c r="E70" s="30">
        <f t="shared" si="16"/>
        <v>46.754144547947234</v>
      </c>
      <c r="F70" s="54">
        <f>+F69</f>
        <v>0.25</v>
      </c>
      <c r="G70" s="49">
        <f>+$F$62*F70</f>
        <v>15.584714849315743</v>
      </c>
    </row>
    <row r="71" spans="2:7" ht="15" x14ac:dyDescent="0.25">
      <c r="B71" s="27">
        <f t="shared" si="18"/>
        <v>5</v>
      </c>
      <c r="C71" s="28">
        <f t="shared" si="19"/>
        <v>0.41666666666666663</v>
      </c>
      <c r="D71" s="29">
        <f t="shared" si="15"/>
        <v>24.999999999999996</v>
      </c>
      <c r="E71" s="30">
        <f t="shared" si="16"/>
        <v>13.465193629808802</v>
      </c>
      <c r="F71" s="54">
        <f>0.18/2</f>
        <v>0.09</v>
      </c>
      <c r="G71" s="49">
        <f t="shared" si="17"/>
        <v>5.6104973457536671</v>
      </c>
    </row>
    <row r="72" spans="2:7" ht="15.75" thickBot="1" x14ac:dyDescent="0.3">
      <c r="B72" s="31">
        <f t="shared" si="18"/>
        <v>6</v>
      </c>
      <c r="C72" s="32">
        <f t="shared" si="19"/>
        <v>0.49999999999999994</v>
      </c>
      <c r="D72" s="33">
        <f t="shared" si="15"/>
        <v>29.999999999999996</v>
      </c>
      <c r="E72" s="34">
        <f t="shared" si="16"/>
        <v>11.220994691507336</v>
      </c>
      <c r="F72" s="56">
        <f>+F71</f>
        <v>0.09</v>
      </c>
      <c r="G72" s="51">
        <f t="shared" si="17"/>
        <v>5.6104973457536671</v>
      </c>
    </row>
    <row r="73" spans="2:7" x14ac:dyDescent="0.2">
      <c r="E73" s="7" t="s">
        <v>9</v>
      </c>
      <c r="F73" s="35">
        <f>+SUM(F67:F72)</f>
        <v>1</v>
      </c>
      <c r="G73" s="8">
        <f>+SUM(G67:G72)</f>
        <v>62.338859397262965</v>
      </c>
    </row>
  </sheetData>
  <mergeCells count="4">
    <mergeCell ref="B7:B8"/>
    <mergeCell ref="B27:B28"/>
    <mergeCell ref="B47:B48"/>
    <mergeCell ref="B65:B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37"/>
  <sheetViews>
    <sheetView showGridLines="0" tabSelected="1" zoomScaleNormal="100" workbookViewId="0">
      <selection activeCell="J27" sqref="J27"/>
    </sheetView>
  </sheetViews>
  <sheetFormatPr baseColWidth="10" defaultRowHeight="14.25" x14ac:dyDescent="0.2"/>
  <cols>
    <col min="1" max="2" width="11.42578125" style="6"/>
    <col min="3" max="4" width="13.7109375" style="6" bestFit="1" customWidth="1"/>
    <col min="5" max="16384" width="11.42578125" style="6"/>
  </cols>
  <sheetData>
    <row r="2" spans="2:5" ht="15" x14ac:dyDescent="0.25">
      <c r="B2" s="164" t="s">
        <v>0</v>
      </c>
      <c r="C2" s="166"/>
      <c r="D2" s="165"/>
    </row>
    <row r="3" spans="2:5" ht="15" x14ac:dyDescent="0.25">
      <c r="B3" s="123" t="s">
        <v>1</v>
      </c>
      <c r="C3" s="164" t="s">
        <v>51</v>
      </c>
      <c r="D3" s="165"/>
    </row>
    <row r="4" spans="2:5" ht="15" x14ac:dyDescent="0.25">
      <c r="B4" s="135"/>
      <c r="C4" s="114" t="s">
        <v>53</v>
      </c>
      <c r="D4" s="115" t="s">
        <v>54</v>
      </c>
    </row>
    <row r="5" spans="2:5" x14ac:dyDescent="0.2">
      <c r="B5" s="124"/>
      <c r="C5" s="113" t="s">
        <v>52</v>
      </c>
      <c r="D5" s="112" t="s">
        <v>52</v>
      </c>
    </row>
    <row r="6" spans="2:5" x14ac:dyDescent="0.2">
      <c r="B6" s="81" t="s">
        <v>56</v>
      </c>
      <c r="C6" s="82">
        <v>28.320599999999999</v>
      </c>
      <c r="D6" s="82">
        <v>36.802900000000001</v>
      </c>
      <c r="E6" s="9"/>
    </row>
    <row r="7" spans="2:5" x14ac:dyDescent="0.2">
      <c r="B7" s="76" t="s">
        <v>57</v>
      </c>
      <c r="C7" s="64">
        <v>3.6118000000000001</v>
      </c>
      <c r="D7" s="64">
        <v>4.9379</v>
      </c>
      <c r="E7" s="9"/>
    </row>
    <row r="8" spans="2:5" x14ac:dyDescent="0.2">
      <c r="B8" s="76" t="s">
        <v>58</v>
      </c>
      <c r="C8" s="64">
        <v>1.2010000000000001</v>
      </c>
      <c r="D8" s="64">
        <v>1.6976</v>
      </c>
      <c r="E8" s="9"/>
    </row>
    <row r="9" spans="2:5" x14ac:dyDescent="0.2">
      <c r="B9" s="76" t="s">
        <v>59</v>
      </c>
      <c r="C9" s="64">
        <v>0.9819</v>
      </c>
      <c r="D9" s="64">
        <v>1.4514</v>
      </c>
      <c r="E9" s="9"/>
    </row>
    <row r="10" spans="2:5" x14ac:dyDescent="0.2">
      <c r="B10" s="76" t="s">
        <v>60</v>
      </c>
      <c r="C10" s="64">
        <v>0.6915</v>
      </c>
      <c r="D10" s="64">
        <v>1.0235000000000001</v>
      </c>
      <c r="E10" s="9"/>
    </row>
    <row r="11" spans="2:5" x14ac:dyDescent="0.2">
      <c r="B11" s="76" t="s">
        <v>61</v>
      </c>
      <c r="C11" s="64">
        <v>0.17560000000000001</v>
      </c>
      <c r="D11" s="64">
        <v>0.2601</v>
      </c>
      <c r="E11" s="9"/>
    </row>
    <row r="12" spans="2:5" x14ac:dyDescent="0.2">
      <c r="B12" s="76" t="s">
        <v>62</v>
      </c>
      <c r="C12" s="64">
        <v>12.446</v>
      </c>
      <c r="D12" s="64">
        <v>16.939399999999999</v>
      </c>
      <c r="E12" s="9"/>
    </row>
    <row r="13" spans="2:5" x14ac:dyDescent="0.2">
      <c r="B13" s="77" t="s">
        <v>63</v>
      </c>
      <c r="C13" s="78">
        <v>2.1659999999999999</v>
      </c>
      <c r="D13" s="78">
        <v>3.0621</v>
      </c>
      <c r="E13" s="9"/>
    </row>
    <row r="15" spans="2:5" ht="15" x14ac:dyDescent="0.25">
      <c r="B15" s="164" t="s">
        <v>6</v>
      </c>
      <c r="C15" s="166"/>
      <c r="D15" s="165"/>
    </row>
    <row r="16" spans="2:5" ht="15" x14ac:dyDescent="0.25">
      <c r="B16" s="123" t="s">
        <v>1</v>
      </c>
      <c r="C16" s="164" t="s">
        <v>51</v>
      </c>
      <c r="D16" s="165"/>
    </row>
    <row r="17" spans="2:5" ht="15" x14ac:dyDescent="0.25">
      <c r="B17" s="135"/>
      <c r="C17" s="114" t="s">
        <v>53</v>
      </c>
      <c r="D17" s="115" t="s">
        <v>54</v>
      </c>
    </row>
    <row r="18" spans="2:5" x14ac:dyDescent="0.2">
      <c r="B18" s="124"/>
      <c r="C18" s="113" t="s">
        <v>52</v>
      </c>
      <c r="D18" s="112" t="s">
        <v>52</v>
      </c>
    </row>
    <row r="19" spans="2:5" x14ac:dyDescent="0.2">
      <c r="B19" s="81" t="s">
        <v>56</v>
      </c>
      <c r="C19" s="82">
        <v>28.6432</v>
      </c>
      <c r="D19" s="82">
        <v>37.224299999999999</v>
      </c>
      <c r="E19" s="9"/>
    </row>
    <row r="20" spans="2:5" x14ac:dyDescent="0.2">
      <c r="B20" s="76" t="s">
        <v>57</v>
      </c>
      <c r="C20" s="64">
        <v>1.9734</v>
      </c>
      <c r="D20" s="64">
        <v>2.782</v>
      </c>
      <c r="E20" s="9"/>
    </row>
    <row r="21" spans="2:5" x14ac:dyDescent="0.2">
      <c r="B21" s="76" t="s">
        <v>58</v>
      </c>
      <c r="C21" s="64">
        <v>0.80420000000000003</v>
      </c>
      <c r="D21" s="64">
        <v>1.1384000000000001</v>
      </c>
      <c r="E21" s="9"/>
    </row>
    <row r="22" spans="2:5" x14ac:dyDescent="0.2">
      <c r="B22" s="76" t="s">
        <v>59</v>
      </c>
      <c r="C22" s="64">
        <v>0.1404</v>
      </c>
      <c r="D22" s="64">
        <v>0.20580000000000001</v>
      </c>
      <c r="E22" s="9"/>
    </row>
    <row r="23" spans="2:5" x14ac:dyDescent="0.2">
      <c r="B23" s="75" t="s">
        <v>60</v>
      </c>
      <c r="C23" s="64">
        <v>2.8450000000000002</v>
      </c>
      <c r="D23" s="64">
        <v>3.8892000000000002</v>
      </c>
      <c r="E23" s="9"/>
    </row>
    <row r="24" spans="2:5" x14ac:dyDescent="0.2">
      <c r="B24" s="76" t="s">
        <v>61</v>
      </c>
      <c r="C24" s="64">
        <v>13.7104</v>
      </c>
      <c r="D24" s="64">
        <v>18.339500000000001</v>
      </c>
      <c r="E24" s="9"/>
    </row>
    <row r="25" spans="2:5" x14ac:dyDescent="0.2">
      <c r="B25" s="77" t="s">
        <v>62</v>
      </c>
      <c r="C25" s="78">
        <v>2.1659999999999999</v>
      </c>
      <c r="D25" s="78">
        <v>3.0621</v>
      </c>
      <c r="E25" s="9"/>
    </row>
    <row r="27" spans="2:5" ht="15" x14ac:dyDescent="0.25">
      <c r="B27" s="164" t="s">
        <v>7</v>
      </c>
      <c r="C27" s="166"/>
      <c r="D27" s="165"/>
    </row>
    <row r="28" spans="2:5" ht="15" x14ac:dyDescent="0.25">
      <c r="B28" s="123" t="s">
        <v>1</v>
      </c>
      <c r="C28" s="164" t="s">
        <v>51</v>
      </c>
      <c r="D28" s="165"/>
    </row>
    <row r="29" spans="2:5" ht="15" x14ac:dyDescent="0.25">
      <c r="B29" s="135"/>
      <c r="C29" s="114" t="s">
        <v>53</v>
      </c>
      <c r="D29" s="115" t="s">
        <v>54</v>
      </c>
    </row>
    <row r="30" spans="2:5" x14ac:dyDescent="0.2">
      <c r="B30" s="124"/>
      <c r="C30" s="113" t="s">
        <v>52</v>
      </c>
      <c r="D30" s="112" t="s">
        <v>52</v>
      </c>
    </row>
    <row r="31" spans="2:5" x14ac:dyDescent="0.2">
      <c r="B31" s="81" t="s">
        <v>56</v>
      </c>
      <c r="C31" s="82">
        <v>28.5061</v>
      </c>
      <c r="D31" s="82">
        <v>36.9435</v>
      </c>
      <c r="E31" s="9"/>
    </row>
    <row r="32" spans="2:5" x14ac:dyDescent="0.2">
      <c r="B32" s="76" t="s">
        <v>57</v>
      </c>
      <c r="C32" s="64">
        <v>1.7612000000000001</v>
      </c>
      <c r="D32" s="64">
        <v>2.4933000000000001</v>
      </c>
      <c r="E32" s="9"/>
    </row>
    <row r="33" spans="2:5" x14ac:dyDescent="0.2">
      <c r="B33" s="76" t="s">
        <v>58</v>
      </c>
      <c r="C33" s="64">
        <v>1.4726999999999999</v>
      </c>
      <c r="D33" s="64">
        <v>2.0891000000000002</v>
      </c>
      <c r="E33" s="9"/>
    </row>
    <row r="34" spans="2:5" x14ac:dyDescent="0.2">
      <c r="B34" s="76" t="s">
        <v>59</v>
      </c>
      <c r="C34" s="64">
        <v>0.15160000000000001</v>
      </c>
      <c r="D34" s="64">
        <v>0.2228</v>
      </c>
      <c r="E34" s="9"/>
    </row>
    <row r="35" spans="2:5" x14ac:dyDescent="0.2">
      <c r="B35" s="75" t="s">
        <v>60</v>
      </c>
      <c r="C35" s="64">
        <v>17.149000000000001</v>
      </c>
      <c r="D35" s="64">
        <v>22.9223</v>
      </c>
      <c r="E35" s="9"/>
    </row>
    <row r="36" spans="2:5" x14ac:dyDescent="0.2">
      <c r="B36" s="76" t="s">
        <v>61</v>
      </c>
      <c r="C36" s="64">
        <v>2.6242000000000001</v>
      </c>
      <c r="D36" s="64">
        <v>3.6999</v>
      </c>
      <c r="E36" s="9"/>
    </row>
    <row r="37" spans="2:5" x14ac:dyDescent="0.2">
      <c r="B37" s="77" t="s">
        <v>62</v>
      </c>
      <c r="C37" s="78">
        <v>5.8871000000000002</v>
      </c>
      <c r="D37" s="78">
        <v>8.0312999999999999</v>
      </c>
      <c r="E37" s="9"/>
    </row>
  </sheetData>
  <mergeCells count="9">
    <mergeCell ref="B28:B30"/>
    <mergeCell ref="C28:D28"/>
    <mergeCell ref="B3:B5"/>
    <mergeCell ref="C3:D3"/>
    <mergeCell ref="B2:D2"/>
    <mergeCell ref="B15:D15"/>
    <mergeCell ref="B16:B18"/>
    <mergeCell ref="C16:D16"/>
    <mergeCell ref="B27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Datos cuencas</vt:lpstr>
      <vt:lpstr>CN</vt:lpstr>
      <vt:lpstr>TD 25años</vt:lpstr>
      <vt:lpstr>TD 50años</vt:lpstr>
      <vt:lpstr>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dibujante</dc:creator>
  <cp:lastModifiedBy>dibujante</cp:lastModifiedBy>
  <dcterms:created xsi:type="dcterms:W3CDTF">2024-09-17T11:51:10Z</dcterms:created>
  <dcterms:modified xsi:type="dcterms:W3CDTF">2024-10-22T16:45:41Z</dcterms:modified>
</cp:coreProperties>
</file>